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5940" windowHeight="21140" tabRatio="871" activeTab="0"/>
  </bookViews>
  <sheets>
    <sheet name="basmetoden - tabell " sheetId="1" r:id="rId1"/>
    <sheet name="Diagram1-alla fraktioner" sheetId="2" r:id="rId2"/>
    <sheet name="Tabell för diagram" sheetId="3" r:id="rId3"/>
  </sheets>
  <definedNames>
    <definedName name="Antal_hushåll">'basmetoden - tabell '!$B$8</definedName>
    <definedName name="Antal23">'basmetoden - tabell '!$F$49</definedName>
    <definedName name="Antal24">'basmetoden - tabell '!$F$45</definedName>
    <definedName name="Antal26">'basmetoden - tabell '!$F$50</definedName>
    <definedName name="Bebyggelse">'basmetoden - tabell '!$B$4</definedName>
    <definedName name="Datum">'basmetoden - tabell '!$B$2</definedName>
    <definedName name="FNI">'basmetoden - tabell '!$D$2</definedName>
    <definedName name="Hämtningsintervall">'basmetoden - tabell '!$B$7</definedName>
    <definedName name="Kommentar1">'basmetoden - tabell '!$G$12</definedName>
    <definedName name="Kommentar10">'basmetoden - tabell '!$G$19</definedName>
    <definedName name="Kommentar11">'basmetoden - tabell '!$G$21</definedName>
    <definedName name="Kommentar12">'basmetoden - tabell '!$G$22</definedName>
    <definedName name="Kommentar14">'basmetoden - tabell '!$G$24</definedName>
    <definedName name="Kommentar15">'basmetoden - tabell '!$G$27</definedName>
    <definedName name="Kommentar16">'basmetoden - tabell '!$G$29</definedName>
    <definedName name="Kommentar17">'basmetoden - tabell '!$G$30</definedName>
    <definedName name="Kommentar18">'basmetoden - tabell '!$G$32</definedName>
    <definedName name="Kommentar19">'basmetoden - tabell '!$G$35</definedName>
    <definedName name="Kommentar20">'basmetoden - tabell '!$G$37</definedName>
    <definedName name="Kommentar21">'basmetoden - tabell '!$G$39</definedName>
    <definedName name="Kommentar22">'basmetoden - tabell '!$G$41</definedName>
    <definedName name="Kommentar23">'basmetoden - tabell '!$G$49</definedName>
    <definedName name="Kommentar24">'basmetoden - tabell '!$G$45</definedName>
    <definedName name="Kommentar25">'basmetoden - tabell '!$G$46</definedName>
    <definedName name="Kommentar26">'basmetoden - tabell '!$G$50</definedName>
    <definedName name="Kommentar27">'basmetoden - tabell '!$G$51</definedName>
    <definedName name="Kommentar28">'basmetoden - tabell '!$G$43</definedName>
    <definedName name="Kommentar31">'basmetoden - tabell '!$G$53</definedName>
    <definedName name="Kommentar33">'basmetoden - tabell '!$G$54</definedName>
    <definedName name="Kommentar34">'basmetoden - tabell '!$G$56</definedName>
    <definedName name="Kommentar36">'basmetoden - tabell '!$G$57</definedName>
    <definedName name="Kommentar4">'basmetoden - tabell '!$G$13</definedName>
    <definedName name="Kommentar5">'basmetoden - tabell '!$G$14</definedName>
    <definedName name="Kommentar6">'basmetoden - tabell '!$G$15</definedName>
    <definedName name="Kommentar8">'basmetoden - tabell '!$G$16</definedName>
    <definedName name="Kommentar9">'basmetoden - tabell '!$G$17</definedName>
    <definedName name="Kommun">'basmetoden - tabell '!$B$3</definedName>
    <definedName name="Protokollförare">'basmetoden - tabell '!$B$6</definedName>
    <definedName name="Sorteringsteam">'basmetoden - tabell '!$B$5</definedName>
    <definedName name="Total_vikt">'basmetoden - tabell '!$B$9</definedName>
    <definedName name="Totalt">'basmetoden - tabell '!$D$59</definedName>
    <definedName name="Vikt1">'basmetoden - tabell '!$D$12</definedName>
    <definedName name="Vikt10">'basmetoden - tabell '!$D$19</definedName>
    <definedName name="Vikt11">'basmetoden - tabell '!$D$21</definedName>
    <definedName name="Vikt12">'basmetoden - tabell '!$D$22</definedName>
    <definedName name="Vikt14">'basmetoden - tabell '!$D$24</definedName>
    <definedName name="Vikt15">'basmetoden - tabell '!$D$27</definedName>
    <definedName name="Vikt16">'basmetoden - tabell '!$D$29</definedName>
    <definedName name="Vikt17">'basmetoden - tabell '!$D$30</definedName>
    <definedName name="Vikt18">'basmetoden - tabell '!$D$32</definedName>
    <definedName name="Vikt19">'basmetoden - tabell '!$D$35</definedName>
    <definedName name="Vikt20">'basmetoden - tabell '!$D$37</definedName>
    <definedName name="Vikt21">'basmetoden - tabell '!$D$39</definedName>
    <definedName name="Vikt22">'basmetoden - tabell '!$D$41</definedName>
    <definedName name="Vikt23">'basmetoden - tabell '!$D$49</definedName>
    <definedName name="Vikt24">'basmetoden - tabell '!$D$45</definedName>
    <definedName name="Vikt25">'basmetoden - tabell '!$D$46</definedName>
    <definedName name="Vikt26">'basmetoden - tabell '!$D$50</definedName>
    <definedName name="Vikt27">'basmetoden - tabell '!$D$51</definedName>
    <definedName name="Vikt28">'basmetoden - tabell '!$D$43</definedName>
    <definedName name="Vikt31">'basmetoden - tabell '!$D$53</definedName>
    <definedName name="Vikt33">'basmetoden - tabell '!$D$54</definedName>
    <definedName name="Vikt34">'basmetoden - tabell '!$D$56</definedName>
    <definedName name="Vikt36">'basmetoden - tabell '!$D$57</definedName>
    <definedName name="Vikt4">'basmetoden - tabell '!$D$13</definedName>
    <definedName name="Vikt5">'basmetoden - tabell '!$D$14</definedName>
    <definedName name="Vikt6">'basmetoden - tabell '!$D$15</definedName>
    <definedName name="Vikt8">'basmetoden - tabell '!$D$16</definedName>
    <definedName name="Vikt9">'basmetoden - tabell '!$D$17</definedName>
  </definedNames>
  <calcPr fullCalcOnLoad="1"/>
</workbook>
</file>

<file path=xl/sharedStrings.xml><?xml version="1.0" encoding="utf-8"?>
<sst xmlns="http://schemas.openxmlformats.org/spreadsheetml/2006/main" count="162" uniqueCount="120">
  <si>
    <t>Plast</t>
  </si>
  <si>
    <t>Glas</t>
  </si>
  <si>
    <t>Metall</t>
  </si>
  <si>
    <t>Farligt avfall</t>
  </si>
  <si>
    <t>El- &amp; elektronik*</t>
  </si>
  <si>
    <t>Övrigt</t>
  </si>
  <si>
    <t>Summa totalt</t>
  </si>
  <si>
    <t xml:space="preserve"> vikt-%</t>
  </si>
  <si>
    <t>Trädgårdsavfall</t>
  </si>
  <si>
    <t xml:space="preserve">Restavfall </t>
  </si>
  <si>
    <t>Kommentarer</t>
  </si>
  <si>
    <t>Antal</t>
  </si>
  <si>
    <t>Papper och kartong</t>
  </si>
  <si>
    <t>Inert Material</t>
  </si>
  <si>
    <t>Porslin, kattsand, aska</t>
  </si>
  <si>
    <t>Antal hushåll:</t>
  </si>
  <si>
    <t>Hämtningsintervall:</t>
  </si>
  <si>
    <t>Tidningar och förpackningar</t>
  </si>
  <si>
    <t>Inert material</t>
  </si>
  <si>
    <t>Övrigt brännbart</t>
  </si>
  <si>
    <t>El &amp; elektronik</t>
  </si>
  <si>
    <r>
      <t>Material märkt med *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faller under producentansvar</t>
    </r>
  </si>
  <si>
    <t>Matavfall</t>
  </si>
  <si>
    <t>Fraktion</t>
  </si>
  <si>
    <r>
      <rPr>
        <b/>
        <sz val="10"/>
        <color indexed="8"/>
        <rFont val="Calibri"/>
        <family val="2"/>
      </rPr>
      <t>Oundvikligt:</t>
    </r>
    <r>
      <rPr>
        <sz val="10"/>
        <color indexed="8"/>
        <rFont val="Calibri"/>
        <family val="2"/>
      </rPr>
      <t xml:space="preserve"> ben, skinn, köttsvål, skal, kärnor, te- och kaffesump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</si>
  <si>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oöppnade förpackningar med mat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</si>
  <si>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öppnade förpackningar med mat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</si>
  <si>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mat med passerat datum, matrester, ätbar frukt och grönsaker</t>
    </r>
  </si>
  <si>
    <t>Vikt(kg)</t>
  </si>
  <si>
    <t>FNImat</t>
  </si>
  <si>
    <t>Bioavfall</t>
  </si>
  <si>
    <t>Antal batterier/100 kg</t>
  </si>
  <si>
    <t>Totalt</t>
  </si>
  <si>
    <t>Vikt på moderprov (kg):</t>
  </si>
  <si>
    <t>Kg/hush/vecka</t>
  </si>
  <si>
    <t xml:space="preserve"> Vikt Kg</t>
  </si>
  <si>
    <t>Sekundär fraktion</t>
  </si>
  <si>
    <t>Primär fraktion</t>
  </si>
  <si>
    <t>Summa bioavfall</t>
  </si>
  <si>
    <t>Tidningar o dyl*</t>
  </si>
  <si>
    <t>Well*</t>
  </si>
  <si>
    <t>Pappersförpackningar*</t>
  </si>
  <si>
    <t>Övrigt papper</t>
  </si>
  <si>
    <t>Summa papper</t>
  </si>
  <si>
    <t>Mjukplast *</t>
  </si>
  <si>
    <t>Frigolit*</t>
  </si>
  <si>
    <t>Hårdplastförpackningar*</t>
  </si>
  <si>
    <t>Övrig plast</t>
  </si>
  <si>
    <t>Summa plast</t>
  </si>
  <si>
    <t>Glasförpackningar*</t>
  </si>
  <si>
    <t>Övrigt glas</t>
  </si>
  <si>
    <t>Summa glas</t>
  </si>
  <si>
    <t>Metallförpackningar*</t>
  </si>
  <si>
    <t>Övrig metall</t>
  </si>
  <si>
    <t>Summa metall</t>
  </si>
  <si>
    <t>Summa inert material</t>
  </si>
  <si>
    <t>Övrigt farligt avfall</t>
  </si>
  <si>
    <t>Summa farligt avfall</t>
  </si>
  <si>
    <r>
      <t xml:space="preserve">Batterier, </t>
    </r>
    <r>
      <rPr>
        <b/>
        <sz val="10"/>
        <rFont val="Calibri"/>
        <family val="2"/>
      </rPr>
      <t>antal</t>
    </r>
  </si>
  <si>
    <r>
      <t xml:space="preserve">Ljuskällor, </t>
    </r>
    <r>
      <rPr>
        <b/>
        <sz val="10"/>
        <rFont val="Calibri"/>
        <family val="2"/>
      </rPr>
      <t>antal</t>
    </r>
  </si>
  <si>
    <t>Småelektronik</t>
  </si>
  <si>
    <t>Summa el-&amp;elektronik</t>
  </si>
  <si>
    <t>Trä</t>
  </si>
  <si>
    <t>Blöjor, bindor o dyl</t>
  </si>
  <si>
    <t xml:space="preserve">Allt annat </t>
  </si>
  <si>
    <t>Summa övrigt</t>
  </si>
  <si>
    <t>Vikt%</t>
  </si>
  <si>
    <t>Kg/hushåll/vecka</t>
  </si>
  <si>
    <t>Våt vikt kg/h/v</t>
  </si>
  <si>
    <t xml:space="preserve"> Torr vikt kg/h/v</t>
  </si>
  <si>
    <t>Korrektion faktor för fukt och smuts</t>
  </si>
  <si>
    <t>*Källa: Avfall Sverige, U2014:04 Korrektionsfaktorer vid plockanalyser för utsorterat brännbart avfall</t>
  </si>
  <si>
    <t>NEJ</t>
  </si>
  <si>
    <t>Avfallsbärare*</t>
  </si>
  <si>
    <t>Antal kanyler/100 kg</t>
  </si>
  <si>
    <r>
      <rPr>
        <b/>
        <sz val="10"/>
        <rFont val="Calibri"/>
        <family val="2"/>
      </rPr>
      <t>Annat matavfall</t>
    </r>
    <r>
      <rPr>
        <sz val="10"/>
        <rFont val="Calibri"/>
        <family val="2"/>
      </rPr>
      <t>: kaffefilter, tepåsar</t>
    </r>
  </si>
  <si>
    <t>Avfallsbärare papper*</t>
  </si>
  <si>
    <t>Reklamblad, prod.kataloger mm*</t>
  </si>
  <si>
    <t>PET med pant*</t>
  </si>
  <si>
    <t>Övrig plast avfallsbärare</t>
  </si>
  <si>
    <t>Glasförpackningar med pant*</t>
  </si>
  <si>
    <t>Metallförpackningar med pant*</t>
  </si>
  <si>
    <r>
      <t xml:space="preserve">Kanyler, </t>
    </r>
    <r>
      <rPr>
        <b/>
        <sz val="10"/>
        <rFont val="Calibri"/>
        <family val="2"/>
      </rPr>
      <t>antal</t>
    </r>
  </si>
  <si>
    <t>Läkemedel</t>
  </si>
  <si>
    <t>Textil Återvinningsbar</t>
  </si>
  <si>
    <t>Textil Återanvändningsbar</t>
  </si>
  <si>
    <t>Dags- och veckotidningar*</t>
  </si>
  <si>
    <t>Avfallsbärare plast*</t>
  </si>
  <si>
    <t>Avfallsbärare övrig plast</t>
  </si>
  <si>
    <t>PET förpackningar med pant</t>
  </si>
  <si>
    <t>Glasförpackningar med pant</t>
  </si>
  <si>
    <t>Metallförpackningar med pant</t>
  </si>
  <si>
    <t>Antal st</t>
  </si>
  <si>
    <t>Uundvikligt matavfall</t>
  </si>
  <si>
    <t>Oöppnade förpackningar med mat</t>
  </si>
  <si>
    <t>Öppnade förpackningar med mat</t>
  </si>
  <si>
    <t>Onödigt matavfall</t>
  </si>
  <si>
    <t>Annat matavfall, kaffefilter, tepåsar</t>
  </si>
  <si>
    <t>Reklamblad, produktkataloger mm</t>
  </si>
  <si>
    <t>Mjukplast*</t>
  </si>
  <si>
    <t>PET med svensk pant*</t>
  </si>
  <si>
    <t>Textil återvinningsbar</t>
  </si>
  <si>
    <t>Textil återanvändingsbar</t>
  </si>
  <si>
    <t>Avfallsbärare övrig papper</t>
  </si>
  <si>
    <t>Antal pantförpackningar kg/hh/v</t>
  </si>
  <si>
    <t>Kg/hh/v</t>
  </si>
  <si>
    <t>Antal kanyler, batterier och glödlampor, kg/hh/v</t>
  </si>
  <si>
    <t>Antal ljuskällor/100 kg</t>
  </si>
  <si>
    <t>Antal per 100 kg</t>
  </si>
  <si>
    <t xml:space="preserve">Kommun/område: </t>
  </si>
  <si>
    <t xml:space="preserve">Bebyggelse: </t>
  </si>
  <si>
    <t xml:space="preserve">Sorteringsteam: </t>
  </si>
  <si>
    <t xml:space="preserve">Protokollförare: </t>
  </si>
  <si>
    <t>Avfallsbärare övrigt papper</t>
  </si>
  <si>
    <t>Petar. Marko, Pära</t>
  </si>
  <si>
    <t>Petar</t>
  </si>
  <si>
    <t>Malå</t>
  </si>
  <si>
    <t>Datum: 2020-11-15</t>
  </si>
  <si>
    <t>Villahushåll</t>
  </si>
  <si>
    <t>Andel matavfall 33,1 %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</si>
</sst>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0.000"/>
    <numFmt numFmtId="193" formatCode="#,##0.0\ &quot;kr&quot;"/>
    <numFmt numFmtId="194" formatCode="0.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 horizontal="center" wrapText="1"/>
      <protection/>
    </xf>
    <xf numFmtId="0" fontId="25" fillId="0" borderId="0" xfId="50" applyFont="1" applyAlignment="1">
      <alignment/>
      <protection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0" applyFont="1" applyAlignment="1">
      <alignment/>
    </xf>
    <xf numFmtId="1" fontId="4" fillId="33" borderId="10" xfId="35" applyNumberFormat="1" applyFont="1" applyFill="1" applyBorder="1" applyAlignment="1">
      <alignment horizontal="right" vertical="center"/>
    </xf>
    <xf numFmtId="185" fontId="49" fillId="34" borderId="10" xfId="50" applyNumberFormat="1" applyFont="1" applyFill="1" applyBorder="1" applyAlignment="1">
      <alignment horizontal="right" vertical="center" wrapText="1"/>
      <protection/>
    </xf>
    <xf numFmtId="1" fontId="49" fillId="35" borderId="10" xfId="50" applyNumberFormat="1" applyFont="1" applyFill="1" applyBorder="1" applyAlignment="1">
      <alignment horizontal="right" vertical="center"/>
      <protection/>
    </xf>
    <xf numFmtId="190" fontId="49" fillId="34" borderId="10" xfId="52" applyNumberFormat="1" applyFont="1" applyFill="1" applyBorder="1" applyAlignment="1">
      <alignment vertical="center" wrapText="1"/>
    </xf>
    <xf numFmtId="0" fontId="4" fillId="0" borderId="11" xfId="50" applyFont="1" applyBorder="1">
      <alignment/>
      <protection/>
    </xf>
    <xf numFmtId="185" fontId="4" fillId="34" borderId="10" xfId="35" applyNumberFormat="1" applyFont="1" applyFill="1" applyBorder="1" applyAlignment="1">
      <alignment horizontal="right" vertical="center"/>
    </xf>
    <xf numFmtId="1" fontId="4" fillId="35" borderId="10" xfId="35" applyNumberFormat="1" applyFont="1" applyFill="1" applyBorder="1" applyAlignment="1">
      <alignment horizontal="right" vertical="center"/>
    </xf>
    <xf numFmtId="2" fontId="4" fillId="0" borderId="0" xfId="50" applyNumberFormat="1" applyFont="1">
      <alignment/>
      <protection/>
    </xf>
    <xf numFmtId="185" fontId="4" fillId="36" borderId="10" xfId="35" applyNumberFormat="1" applyFont="1" applyFill="1" applyBorder="1" applyAlignment="1">
      <alignment horizontal="right" vertical="center"/>
    </xf>
    <xf numFmtId="1" fontId="4" fillId="35" borderId="10" xfId="35" applyNumberFormat="1" applyFont="1" applyFill="1" applyBorder="1" applyAlignment="1">
      <alignment horizontal="right" vertical="center"/>
    </xf>
    <xf numFmtId="185" fontId="5" fillId="37" borderId="10" xfId="35" applyNumberFormat="1" applyFont="1" applyFill="1" applyBorder="1" applyAlignment="1">
      <alignment horizontal="right" vertical="center"/>
    </xf>
    <xf numFmtId="185" fontId="26" fillId="37" borderId="10" xfId="35" applyNumberFormat="1" applyFont="1" applyFill="1" applyBorder="1" applyAlignment="1">
      <alignment horizontal="center" vertical="center"/>
    </xf>
    <xf numFmtId="190" fontId="50" fillId="16" borderId="10" xfId="52" applyNumberFormat="1" applyFont="1" applyFill="1" applyBorder="1" applyAlignment="1">
      <alignment vertical="center" wrapText="1"/>
    </xf>
    <xf numFmtId="0" fontId="4" fillId="38" borderId="11" xfId="50" applyFont="1" applyFill="1" applyBorder="1">
      <alignment/>
      <protection/>
    </xf>
    <xf numFmtId="0" fontId="49" fillId="35" borderId="10" xfId="50" applyNumberFormat="1" applyFont="1" applyFill="1" applyBorder="1" applyAlignment="1">
      <alignment vertical="center"/>
      <protection/>
    </xf>
    <xf numFmtId="185" fontId="49" fillId="34" borderId="10" xfId="50" applyNumberFormat="1" applyFont="1" applyFill="1" applyBorder="1" applyAlignment="1">
      <alignment horizontal="right" vertical="center"/>
      <protection/>
    </xf>
    <xf numFmtId="185" fontId="50" fillId="16" borderId="10" xfId="50" applyNumberFormat="1" applyFont="1" applyFill="1" applyBorder="1" applyAlignment="1">
      <alignment horizontal="right" vertical="center"/>
      <protection/>
    </xf>
    <xf numFmtId="0" fontId="51" fillId="16" borderId="10" xfId="50" applyNumberFormat="1" applyFont="1" applyFill="1" applyBorder="1" applyAlignment="1">
      <alignment vertical="center"/>
      <protection/>
    </xf>
    <xf numFmtId="0" fontId="49" fillId="35" borderId="12" xfId="50" applyNumberFormat="1" applyFont="1" applyFill="1" applyBorder="1" applyAlignment="1">
      <alignment vertic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85" fontId="50" fillId="16" borderId="15" xfId="50" applyNumberFormat="1" applyFont="1" applyFill="1" applyBorder="1" applyAlignment="1">
      <alignment horizontal="right" vertical="center"/>
      <protection/>
    </xf>
    <xf numFmtId="0" fontId="50" fillId="16" borderId="15" xfId="50" applyNumberFormat="1" applyFont="1" applyFill="1" applyBorder="1" applyAlignment="1">
      <alignment vertical="center"/>
      <protection/>
    </xf>
    <xf numFmtId="190" fontId="50" fillId="16" borderId="15" xfId="52" applyNumberFormat="1" applyFont="1" applyFill="1" applyBorder="1" applyAlignment="1">
      <alignment vertical="center" wrapText="1"/>
    </xf>
    <xf numFmtId="0" fontId="50" fillId="16" borderId="15" xfId="50" applyNumberFormat="1" applyFont="1" applyFill="1" applyBorder="1" applyAlignment="1">
      <alignment/>
      <protection/>
    </xf>
    <xf numFmtId="0" fontId="4" fillId="38" borderId="16" xfId="50" applyFont="1" applyFill="1" applyBorder="1">
      <alignment/>
      <protection/>
    </xf>
    <xf numFmtId="0" fontId="49" fillId="34" borderId="17" xfId="50" applyNumberFormat="1" applyFont="1" applyFill="1" applyBorder="1" applyAlignment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185" fontId="4" fillId="0" borderId="0" xfId="50" applyNumberFormat="1" applyFont="1">
      <alignment/>
      <protection/>
    </xf>
    <xf numFmtId="0" fontId="28" fillId="0" borderId="0" xfId="50" applyFont="1" applyBorder="1">
      <alignment/>
      <protection/>
    </xf>
    <xf numFmtId="0" fontId="4" fillId="0" borderId="0" xfId="50" applyFont="1" applyBorder="1" applyAlignment="1">
      <alignment/>
      <protection/>
    </xf>
    <xf numFmtId="14" fontId="29" fillId="0" borderId="0" xfId="50" applyNumberFormat="1" applyFont="1" applyBorder="1" applyAlignment="1">
      <alignment horizontal="left" vertical="center" wrapText="1"/>
      <protection/>
    </xf>
    <xf numFmtId="0" fontId="29" fillId="4" borderId="15" xfId="50" applyFont="1" applyFill="1" applyBorder="1">
      <alignment/>
      <protection/>
    </xf>
    <xf numFmtId="0" fontId="25" fillId="4" borderId="15" xfId="50" applyFont="1" applyFill="1" applyBorder="1">
      <alignment/>
      <protection/>
    </xf>
    <xf numFmtId="0" fontId="4" fillId="0" borderId="0" xfId="50" applyFont="1" applyFill="1" applyBorder="1" applyAlignment="1">
      <alignment horizontal="center" wrapText="1"/>
      <protection/>
    </xf>
    <xf numFmtId="0" fontId="4" fillId="0" borderId="0" xfId="50" applyFont="1" applyBorder="1" applyAlignment="1">
      <alignment vertical="center" wrapText="1"/>
      <protection/>
    </xf>
    <xf numFmtId="14" fontId="5" fillId="0" borderId="0" xfId="50" applyNumberFormat="1" applyFont="1" applyBorder="1" applyAlignment="1">
      <alignment horizontal="center" vertical="center" wrapText="1"/>
      <protection/>
    </xf>
    <xf numFmtId="0" fontId="5" fillId="39" borderId="18" xfId="49" applyFont="1" applyFill="1" applyBorder="1" applyAlignment="1">
      <alignment/>
    </xf>
    <xf numFmtId="0" fontId="5" fillId="39" borderId="19" xfId="49" applyFont="1" applyFill="1" applyBorder="1" applyAlignment="1">
      <alignment/>
    </xf>
    <xf numFmtId="14" fontId="50" fillId="34" borderId="10" xfId="50" applyNumberFormat="1" applyFont="1" applyFill="1" applyBorder="1" applyAlignment="1">
      <alignment horizontal="left" vertical="center" wrapText="1"/>
      <protection/>
    </xf>
    <xf numFmtId="0" fontId="4" fillId="34" borderId="10" xfId="35" applyFont="1" applyFill="1" applyBorder="1" applyAlignment="1">
      <alignment horizontal="left" wrapText="1"/>
    </xf>
    <xf numFmtId="0" fontId="4" fillId="37" borderId="10" xfId="49" applyFont="1" applyFill="1" applyBorder="1" applyAlignment="1">
      <alignment/>
    </xf>
    <xf numFmtId="0" fontId="26" fillId="37" borderId="10" xfId="35" applyFont="1" applyFill="1" applyBorder="1" applyAlignment="1">
      <alignment horizontal="left" wrapText="1"/>
    </xf>
    <xf numFmtId="0" fontId="4" fillId="34" borderId="15" xfId="35" applyFont="1" applyFill="1" applyBorder="1" applyAlignment="1">
      <alignment horizontal="left" wrapText="1"/>
    </xf>
    <xf numFmtId="0" fontId="26" fillId="16" borderId="10" xfId="35" applyFont="1" applyFill="1" applyBorder="1" applyAlignment="1">
      <alignment horizontal="left" wrapText="1"/>
    </xf>
    <xf numFmtId="0" fontId="26" fillId="16" borderId="10" xfId="35" applyFont="1" applyFill="1" applyBorder="1" applyAlignment="1">
      <alignment horizontal="left" wrapText="1"/>
    </xf>
    <xf numFmtId="0" fontId="26" fillId="37" borderId="10" xfId="49" applyFont="1" applyFill="1" applyBorder="1" applyAlignment="1">
      <alignment horizontal="left" wrapText="1"/>
    </xf>
    <xf numFmtId="0" fontId="26" fillId="16" borderId="15" xfId="35" applyFont="1" applyFill="1" applyBorder="1" applyAlignment="1">
      <alignment horizontal="left" wrapText="1"/>
    </xf>
    <xf numFmtId="0" fontId="4" fillId="0" borderId="15" xfId="50" applyFont="1" applyBorder="1">
      <alignment/>
      <protection/>
    </xf>
    <xf numFmtId="9" fontId="4" fillId="0" borderId="15" xfId="50" applyNumberFormat="1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vertical="top" wrapText="1"/>
      <protection/>
    </xf>
    <xf numFmtId="0" fontId="4" fillId="0" borderId="15" xfId="50" applyFont="1" applyBorder="1" applyAlignment="1">
      <alignment/>
      <protection/>
    </xf>
    <xf numFmtId="190" fontId="4" fillId="0" borderId="15" xfId="50" applyNumberFormat="1" applyFont="1" applyBorder="1" applyAlignment="1">
      <alignment horizontal="center"/>
      <protection/>
    </xf>
    <xf numFmtId="9" fontId="30" fillId="0" borderId="0" xfId="50" applyNumberFormat="1" applyFont="1" applyBorder="1" applyAlignment="1">
      <alignment horizontal="center" vertical="top" wrapText="1"/>
      <protection/>
    </xf>
    <xf numFmtId="9" fontId="30" fillId="0" borderId="0" xfId="50" applyNumberFormat="1" applyFont="1" applyBorder="1" applyAlignment="1">
      <alignment vertical="top" wrapText="1"/>
      <protection/>
    </xf>
    <xf numFmtId="0" fontId="52" fillId="0" borderId="0" xfId="35" applyFont="1" applyFill="1" applyAlignment="1">
      <alignment/>
    </xf>
    <xf numFmtId="0" fontId="52" fillId="0" borderId="0" xfId="35" applyFont="1" applyFill="1" applyBorder="1" applyAlignment="1">
      <alignment horizontal="center"/>
    </xf>
    <xf numFmtId="0" fontId="52" fillId="0" borderId="0" xfId="35" applyFont="1" applyFill="1" applyBorder="1" applyAlignment="1">
      <alignment horizontal="center" wrapText="1"/>
    </xf>
    <xf numFmtId="0" fontId="52" fillId="0" borderId="0" xfId="35" applyFont="1" applyFill="1" applyAlignment="1">
      <alignment horizontal="center"/>
    </xf>
    <xf numFmtId="0" fontId="52" fillId="0" borderId="0" xfId="35" applyFont="1" applyFill="1" applyAlignment="1">
      <alignment horizontal="center" wrapText="1"/>
    </xf>
    <xf numFmtId="0" fontId="52" fillId="0" borderId="0" xfId="35" applyFont="1" applyFill="1" applyBorder="1" applyAlignment="1">
      <alignment wrapText="1"/>
    </xf>
    <xf numFmtId="185" fontId="52" fillId="0" borderId="0" xfId="35" applyNumberFormat="1" applyFont="1" applyFill="1" applyBorder="1" applyAlignment="1">
      <alignment horizontal="center"/>
    </xf>
    <xf numFmtId="2" fontId="52" fillId="0" borderId="0" xfId="35" applyNumberFormat="1" applyFont="1" applyFill="1" applyAlignment="1">
      <alignment horizontal="center"/>
    </xf>
    <xf numFmtId="185" fontId="52" fillId="0" borderId="0" xfId="35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50" applyFont="1" applyAlignment="1">
      <alignment/>
      <protection/>
    </xf>
    <xf numFmtId="0" fontId="4" fillId="40" borderId="20" xfId="49" applyFont="1" applyFill="1" applyBorder="1" applyAlignment="1">
      <alignment horizontal="center"/>
    </xf>
    <xf numFmtId="22" fontId="25" fillId="4" borderId="15" xfId="50" applyNumberFormat="1" applyFont="1" applyFill="1" applyBorder="1" applyAlignment="1">
      <alignment horizontal="left"/>
      <protection/>
    </xf>
    <xf numFmtId="0" fontId="25" fillId="4" borderId="15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4" fillId="37" borderId="21" xfId="49" applyFont="1" applyFill="1" applyBorder="1" applyAlignment="1">
      <alignment/>
    </xf>
    <xf numFmtId="0" fontId="4" fillId="37" borderId="15" xfId="49" applyFont="1" applyFill="1" applyBorder="1" applyAlignment="1">
      <alignment/>
    </xf>
    <xf numFmtId="0" fontId="5" fillId="39" borderId="18" xfId="49" applyFont="1" applyFill="1" applyBorder="1" applyAlignment="1">
      <alignment wrapText="1"/>
    </xf>
    <xf numFmtId="2" fontId="49" fillId="34" borderId="10" xfId="50" applyNumberFormat="1" applyFont="1" applyFill="1" applyBorder="1" applyAlignment="1">
      <alignment horizontal="right" vertical="center" wrapText="1"/>
      <protection/>
    </xf>
    <xf numFmtId="2" fontId="4" fillId="34" borderId="10" xfId="35" applyNumberFormat="1" applyFont="1" applyFill="1" applyBorder="1" applyAlignment="1">
      <alignment horizontal="right" vertical="center"/>
    </xf>
    <xf numFmtId="2" fontId="5" fillId="16" borderId="10" xfId="35" applyNumberFormat="1" applyFont="1" applyFill="1" applyBorder="1" applyAlignment="1">
      <alignment horizontal="right" vertical="center"/>
    </xf>
    <xf numFmtId="2" fontId="5" fillId="16" borderId="21" xfId="35" applyNumberFormat="1" applyFont="1" applyFill="1" applyBorder="1" applyAlignment="1">
      <alignment horizontal="right" vertical="center"/>
    </xf>
    <xf numFmtId="2" fontId="50" fillId="16" borderId="15" xfId="50" applyNumberFormat="1" applyFont="1" applyFill="1" applyBorder="1" applyAlignment="1">
      <alignment horizontal="right" vertical="center"/>
      <protection/>
    </xf>
    <xf numFmtId="190" fontId="4" fillId="0" borderId="15" xfId="50" applyNumberFormat="1" applyFont="1" applyBorder="1" applyAlignment="1">
      <alignment horizontal="center" vertical="top" wrapText="1"/>
      <protection/>
    </xf>
    <xf numFmtId="10" fontId="4" fillId="0" borderId="15" xfId="50" applyNumberFormat="1" applyFont="1" applyBorder="1" applyAlignment="1">
      <alignment horizontal="center"/>
      <protection/>
    </xf>
    <xf numFmtId="10" fontId="4" fillId="0" borderId="15" xfId="50" applyNumberFormat="1" applyFont="1" applyBorder="1" applyAlignment="1">
      <alignment horizontal="center" vertical="top" wrapText="1"/>
      <protection/>
    </xf>
    <xf numFmtId="2" fontId="4" fillId="0" borderId="15" xfId="50" applyNumberFormat="1" applyFont="1" applyBorder="1" applyAlignment="1">
      <alignment horizontal="center"/>
      <protection/>
    </xf>
    <xf numFmtId="2" fontId="4" fillId="0" borderId="0" xfId="50" applyNumberFormat="1" applyFont="1" applyAlignment="1">
      <alignment/>
      <protection/>
    </xf>
    <xf numFmtId="192" fontId="49" fillId="34" borderId="10" xfId="50" applyNumberFormat="1" applyFont="1" applyFill="1" applyBorder="1" applyAlignment="1">
      <alignment horizontal="right" vertical="center"/>
      <protection/>
    </xf>
    <xf numFmtId="192" fontId="50" fillId="16" borderId="10" xfId="50" applyNumberFormat="1" applyFont="1" applyFill="1" applyBorder="1" applyAlignment="1">
      <alignment horizontal="right" vertical="center"/>
      <protection/>
    </xf>
    <xf numFmtId="10" fontId="50" fillId="16" borderId="10" xfId="52" applyNumberFormat="1" applyFont="1" applyFill="1" applyBorder="1" applyAlignment="1">
      <alignment vertical="center" wrapText="1"/>
    </xf>
    <xf numFmtId="0" fontId="4" fillId="34" borderId="20" xfId="49" applyFont="1" applyFill="1" applyBorder="1" applyAlignment="1">
      <alignment wrapText="1"/>
    </xf>
    <xf numFmtId="0" fontId="4" fillId="36" borderId="20" xfId="49" applyFont="1" applyFill="1" applyBorder="1" applyAlignment="1">
      <alignment wrapText="1"/>
    </xf>
    <xf numFmtId="0" fontId="26" fillId="37" borderId="20" xfId="49" applyFont="1" applyFill="1" applyBorder="1" applyAlignment="1">
      <alignment wrapText="1"/>
    </xf>
    <xf numFmtId="0" fontId="49" fillId="34" borderId="20" xfId="50" applyNumberFormat="1" applyFont="1" applyFill="1" applyBorder="1" applyAlignment="1">
      <alignment wrapText="1"/>
      <protection/>
    </xf>
    <xf numFmtId="0" fontId="51" fillId="16" borderId="20" xfId="50" applyNumberFormat="1" applyFont="1" applyFill="1" applyBorder="1" applyAlignment="1">
      <alignment wrapText="1"/>
      <protection/>
    </xf>
    <xf numFmtId="0" fontId="49" fillId="16" borderId="20" xfId="50" applyNumberFormat="1" applyFont="1" applyFill="1" applyBorder="1" applyAlignment="1">
      <alignment wrapText="1"/>
      <protection/>
    </xf>
    <xf numFmtId="0" fontId="4" fillId="36" borderId="10" xfId="49" applyFont="1" applyFill="1" applyBorder="1" applyAlignment="1">
      <alignment horizontal="left" wrapText="1"/>
    </xf>
    <xf numFmtId="0" fontId="4" fillId="36" borderId="10" xfId="35" applyFont="1" applyFill="1" applyBorder="1" applyAlignment="1">
      <alignment horizontal="left" wrapText="1"/>
    </xf>
    <xf numFmtId="0" fontId="5" fillId="0" borderId="15" xfId="50" applyFont="1" applyFill="1" applyBorder="1">
      <alignment/>
      <protection/>
    </xf>
    <xf numFmtId="0" fontId="4" fillId="0" borderId="15" xfId="35" applyFont="1" applyFill="1" applyBorder="1" applyAlignment="1">
      <alignment horizontal="left" wrapText="1"/>
    </xf>
    <xf numFmtId="2" fontId="4" fillId="0" borderId="15" xfId="50" applyNumberFormat="1" applyFont="1" applyFill="1" applyBorder="1">
      <alignment/>
      <protection/>
    </xf>
    <xf numFmtId="2" fontId="5" fillId="0" borderId="15" xfId="50" applyNumberFormat="1" applyFont="1" applyFill="1" applyBorder="1">
      <alignment/>
      <protection/>
    </xf>
    <xf numFmtId="0" fontId="4" fillId="0" borderId="0" xfId="0" applyFont="1" applyAlignment="1">
      <alignment/>
    </xf>
    <xf numFmtId="0" fontId="4" fillId="36" borderId="10" xfId="35" applyFont="1" applyFill="1" applyBorder="1" applyAlignment="1">
      <alignment horizontal="left" wrapText="1"/>
    </xf>
    <xf numFmtId="2" fontId="4" fillId="36" borderId="10" xfId="35" applyNumberFormat="1" applyFont="1" applyFill="1" applyBorder="1" applyAlignment="1">
      <alignment horizontal="right" vertical="center"/>
    </xf>
    <xf numFmtId="2" fontId="4" fillId="34" borderId="10" xfId="35" applyNumberFormat="1" applyFont="1" applyFill="1" applyBorder="1" applyAlignment="1">
      <alignment horizontal="right" vertical="center"/>
    </xf>
    <xf numFmtId="0" fontId="4" fillId="34" borderId="10" xfId="35" applyFont="1" applyFill="1" applyBorder="1" applyAlignment="1">
      <alignment horizontal="left" wrapText="1"/>
    </xf>
    <xf numFmtId="185" fontId="4" fillId="34" borderId="10" xfId="35" applyNumberFormat="1" applyFont="1" applyFill="1" applyBorder="1" applyAlignment="1">
      <alignment horizontal="right" vertical="center"/>
    </xf>
    <xf numFmtId="185" fontId="4" fillId="34" borderId="10" xfId="35" applyNumberFormat="1" applyFont="1" applyFill="1" applyBorder="1" applyAlignment="1">
      <alignment horizontal="right" vertical="center" wrapText="1"/>
    </xf>
    <xf numFmtId="190" fontId="50" fillId="34" borderId="10" xfId="52" applyNumberFormat="1" applyFont="1" applyFill="1" applyBorder="1" applyAlignment="1">
      <alignment vertical="center" wrapText="1"/>
    </xf>
    <xf numFmtId="10" fontId="50" fillId="34" borderId="10" xfId="52" applyNumberFormat="1" applyFont="1" applyFill="1" applyBorder="1" applyAlignment="1">
      <alignment vertical="center" wrapText="1"/>
    </xf>
    <xf numFmtId="0" fontId="49" fillId="34" borderId="10" xfId="50" applyNumberFormat="1" applyFont="1" applyFill="1" applyBorder="1" applyAlignment="1">
      <alignment horizontal="center" vertical="center"/>
      <protection/>
    </xf>
    <xf numFmtId="0" fontId="49" fillId="35" borderId="10" xfId="50" applyNumberFormat="1" applyFont="1" applyFill="1" applyBorder="1" applyAlignment="1">
      <alignment horizontal="center" vertical="center"/>
      <protection/>
    </xf>
    <xf numFmtId="0" fontId="51" fillId="16" borderId="10" xfId="50" applyNumberFormat="1" applyFont="1" applyFill="1" applyBorder="1" applyAlignment="1">
      <alignment horizontal="center" vertical="center"/>
      <protection/>
    </xf>
    <xf numFmtId="0" fontId="49" fillId="16" borderId="10" xfId="50" applyNumberFormat="1" applyFont="1" applyFill="1" applyBorder="1" applyAlignment="1">
      <alignment horizontal="center" vertical="center"/>
      <protection/>
    </xf>
    <xf numFmtId="0" fontId="51" fillId="16" borderId="15" xfId="50" applyNumberFormat="1" applyFont="1" applyFill="1" applyBorder="1" applyAlignment="1">
      <alignment horizontal="center" vertical="center"/>
      <protection/>
    </xf>
    <xf numFmtId="1" fontId="49" fillId="34" borderId="10" xfId="50" applyNumberFormat="1" applyFont="1" applyFill="1" applyBorder="1" applyAlignment="1">
      <alignment horizontal="center" vertical="center"/>
      <protection/>
    </xf>
    <xf numFmtId="1" fontId="49" fillId="34" borderId="10" xfId="52" applyNumberFormat="1" applyFont="1" applyFill="1" applyBorder="1" applyAlignment="1">
      <alignment horizontal="center" vertical="center" wrapText="1"/>
    </xf>
    <xf numFmtId="1" fontId="49" fillId="34" borderId="15" xfId="52" applyNumberFormat="1" applyFont="1" applyFill="1" applyBorder="1" applyAlignment="1">
      <alignment horizontal="center" vertical="center" wrapText="1"/>
    </xf>
    <xf numFmtId="192" fontId="4" fillId="34" borderId="10" xfId="35" applyNumberFormat="1" applyFont="1" applyFill="1" applyBorder="1" applyAlignment="1">
      <alignment horizontal="right" vertical="center"/>
    </xf>
    <xf numFmtId="192" fontId="5" fillId="16" borderId="10" xfId="35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/>
    </xf>
    <xf numFmtId="2" fontId="4" fillId="0" borderId="15" xfId="50" applyNumberFormat="1" applyFont="1" applyBorder="1">
      <alignment/>
      <protection/>
    </xf>
    <xf numFmtId="2" fontId="4" fillId="0" borderId="15" xfId="50" applyNumberFormat="1" applyFont="1" applyFill="1" applyBorder="1" applyAlignment="1">
      <alignment horizontal="center"/>
      <protection/>
    </xf>
    <xf numFmtId="0" fontId="4" fillId="0" borderId="15" xfId="50" applyFont="1" applyBorder="1" applyAlignment="1">
      <alignment horizontal="right"/>
      <protection/>
    </xf>
    <xf numFmtId="184" fontId="4" fillId="0" borderId="15" xfId="50" applyNumberFormat="1" applyFont="1" applyBorder="1" applyAlignment="1">
      <alignment horizontal="right"/>
      <protection/>
    </xf>
    <xf numFmtId="185" fontId="4" fillId="0" borderId="15" xfId="50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4" fillId="34" borderId="20" xfId="49" applyFont="1" applyFill="1" applyBorder="1" applyAlignment="1">
      <alignment wrapText="1"/>
    </xf>
    <xf numFmtId="0" fontId="5" fillId="41" borderId="15" xfId="50" applyFont="1" applyFill="1" applyBorder="1">
      <alignment/>
      <protection/>
    </xf>
    <xf numFmtId="0" fontId="5" fillId="41" borderId="15" xfId="50" applyFont="1" applyFill="1" applyBorder="1" applyAlignment="1">
      <alignment wrapText="1"/>
      <protection/>
    </xf>
    <xf numFmtId="0" fontId="5" fillId="41" borderId="15" xfId="0" applyFont="1" applyFill="1" applyBorder="1" applyAlignment="1">
      <alignment/>
    </xf>
    <xf numFmtId="0" fontId="5" fillId="41" borderId="15" xfId="50" applyFont="1" applyFill="1" applyBorder="1" applyAlignment="1">
      <alignment horizontal="right"/>
      <protection/>
    </xf>
    <xf numFmtId="0" fontId="5" fillId="41" borderId="15" xfId="50" applyFont="1" applyFill="1" applyBorder="1" applyAlignment="1">
      <alignment/>
      <protection/>
    </xf>
    <xf numFmtId="0" fontId="5" fillId="41" borderId="15" xfId="50" applyFont="1" applyFill="1" applyBorder="1" applyAlignment="1">
      <alignment horizontal="center" wrapText="1"/>
      <protection/>
    </xf>
    <xf numFmtId="9" fontId="5" fillId="41" borderId="15" xfId="50" applyNumberFormat="1" applyFont="1" applyFill="1" applyBorder="1" applyAlignment="1">
      <alignment wrapText="1"/>
      <protection/>
    </xf>
    <xf numFmtId="192" fontId="4" fillId="0" borderId="15" xfId="50" applyNumberFormat="1" applyFont="1" applyBorder="1" applyAlignment="1">
      <alignment horizontal="right"/>
      <protection/>
    </xf>
    <xf numFmtId="185" fontId="4" fillId="0" borderId="15" xfId="50" applyNumberFormat="1" applyFont="1" applyBorder="1">
      <alignment/>
      <protection/>
    </xf>
    <xf numFmtId="0" fontId="5" fillId="41" borderId="15" xfId="49" applyFont="1" applyFill="1" applyBorder="1" applyAlignment="1">
      <alignment/>
    </xf>
    <xf numFmtId="0" fontId="5" fillId="41" borderId="15" xfId="49" applyFont="1" applyFill="1" applyBorder="1" applyAlignment="1">
      <alignment horizontal="center"/>
    </xf>
    <xf numFmtId="0" fontId="5" fillId="41" borderId="15" xfId="49" applyFont="1" applyFill="1" applyBorder="1" applyAlignment="1">
      <alignment horizontal="center" wrapText="1"/>
    </xf>
    <xf numFmtId="190" fontId="49" fillId="0" borderId="15" xfId="52" applyNumberFormat="1" applyFont="1" applyFill="1" applyBorder="1" applyAlignment="1">
      <alignment horizontal="center" vertical="center" wrapText="1"/>
    </xf>
    <xf numFmtId="185" fontId="49" fillId="0" borderId="15" xfId="50" applyNumberFormat="1" applyFont="1" applyFill="1" applyBorder="1" applyAlignment="1">
      <alignment horizontal="center" vertical="center"/>
      <protection/>
    </xf>
    <xf numFmtId="2" fontId="4" fillId="0" borderId="15" xfId="35" applyNumberFormat="1" applyFont="1" applyFill="1" applyBorder="1" applyAlignment="1">
      <alignment horizontal="center" vertical="center"/>
    </xf>
    <xf numFmtId="0" fontId="4" fillId="34" borderId="20" xfId="35" applyFont="1" applyFill="1" applyBorder="1" applyAlignment="1">
      <alignment horizontal="left" wrapText="1"/>
    </xf>
    <xf numFmtId="9" fontId="50" fillId="16" borderId="15" xfId="52" applyNumberFormat="1" applyFont="1" applyFill="1" applyBorder="1" applyAlignment="1">
      <alignment vertical="center" wrapText="1"/>
    </xf>
    <xf numFmtId="2" fontId="4" fillId="0" borderId="15" xfId="50" applyNumberFormat="1" applyFont="1" applyBorder="1" applyAlignment="1">
      <alignment horizontal="right"/>
      <protection/>
    </xf>
    <xf numFmtId="194" fontId="4" fillId="34" borderId="10" xfId="35" applyNumberFormat="1" applyFont="1" applyFill="1" applyBorder="1" applyAlignment="1">
      <alignment horizontal="right" vertical="center"/>
    </xf>
    <xf numFmtId="2" fontId="49" fillId="34" borderId="10" xfId="50" applyNumberFormat="1" applyFont="1" applyFill="1" applyBorder="1" applyAlignment="1">
      <alignment horizontal="right" vertical="center"/>
      <protection/>
    </xf>
    <xf numFmtId="0" fontId="4" fillId="40" borderId="20" xfId="49" applyFont="1" applyFill="1" applyBorder="1" applyAlignment="1">
      <alignment horizontal="center"/>
    </xf>
    <xf numFmtId="0" fontId="4" fillId="40" borderId="22" xfId="49" applyFont="1" applyFill="1" applyBorder="1" applyAlignment="1">
      <alignment horizontal="center"/>
    </xf>
    <xf numFmtId="0" fontId="4" fillId="40" borderId="23" xfId="49" applyFont="1" applyFill="1" applyBorder="1" applyAlignment="1">
      <alignment horizontal="center"/>
    </xf>
    <xf numFmtId="0" fontId="4" fillId="0" borderId="0" xfId="50" applyFont="1" applyAlignment="1">
      <alignment/>
      <protection/>
    </xf>
    <xf numFmtId="0" fontId="4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lockanalys_Mall för utvärdering 050623" xfId="50"/>
    <cellStyle name="Normalny_bins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21025"/>
          <c:w val="0.413"/>
          <c:h val="0.6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'basmetoden - tabell '!$A$63:$A$69</c:f>
              <c:strCache/>
            </c:strRef>
          </c:cat>
          <c:val>
            <c:numRef>
              <c:f>'basmetoden - tabell '!$B$63:$B$69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375"/>
          <c:w val="0.471"/>
          <c:h val="0.7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'Tabell för diagram'!$A$3:$A$36</c:f>
              <c:strCache>
                <c:ptCount val="34"/>
                <c:pt idx="0">
                  <c:v>Uundvikligt matavfall</c:v>
                </c:pt>
                <c:pt idx="1">
                  <c:v>Oöppnade förpackningar med mat</c:v>
                </c:pt>
                <c:pt idx="2">
                  <c:v>Öppnade förpackningar med mat</c:v>
                </c:pt>
                <c:pt idx="3">
                  <c:v>Onödigt matavfall</c:v>
                </c:pt>
                <c:pt idx="4">
                  <c:v>Annat matavfall, kaffefilter, tepåsar</c:v>
                </c:pt>
                <c:pt idx="5">
                  <c:v>Trädgårdsavfall</c:v>
                </c:pt>
                <c:pt idx="6">
                  <c:v>Dags- och veckotidningar*</c:v>
                </c:pt>
                <c:pt idx="7">
                  <c:v>Reklamblad, produktkataloger mm</c:v>
                </c:pt>
                <c:pt idx="8">
                  <c:v>Well*</c:v>
                </c:pt>
                <c:pt idx="9">
                  <c:v>Pappersförpackningar*</c:v>
                </c:pt>
                <c:pt idx="10">
                  <c:v>Avfallsbärare papper*</c:v>
                </c:pt>
                <c:pt idx="11">
                  <c:v>Övrigt papper</c:v>
                </c:pt>
                <c:pt idx="12">
                  <c:v>Avfallsbärare övrigt papper</c:v>
                </c:pt>
                <c:pt idx="13">
                  <c:v>Mjukplast*</c:v>
                </c:pt>
                <c:pt idx="14">
                  <c:v>Avfallsbärare plast*</c:v>
                </c:pt>
                <c:pt idx="15">
                  <c:v>Frigolit*</c:v>
                </c:pt>
                <c:pt idx="16">
                  <c:v>Hårdplastförpackningar*</c:v>
                </c:pt>
                <c:pt idx="17">
                  <c:v>PET med svensk pant*</c:v>
                </c:pt>
                <c:pt idx="18">
                  <c:v>Övrig plast</c:v>
                </c:pt>
                <c:pt idx="19">
                  <c:v>Övrig plast avfallsbärare</c:v>
                </c:pt>
                <c:pt idx="20">
                  <c:v>Glasförpackningar*</c:v>
                </c:pt>
                <c:pt idx="21">
                  <c:v>Glasförpackningar med pant*</c:v>
                </c:pt>
                <c:pt idx="22">
                  <c:v>Övrigt glas</c:v>
                </c:pt>
                <c:pt idx="23">
                  <c:v>Metallförpackningar*</c:v>
                </c:pt>
                <c:pt idx="24">
                  <c:v>Metallförpackningar med pant*</c:v>
                </c:pt>
                <c:pt idx="25">
                  <c:v>Övrig metall</c:v>
                </c:pt>
                <c:pt idx="26">
                  <c:v>Inert material</c:v>
                </c:pt>
                <c:pt idx="27">
                  <c:v>Farligt avfall</c:v>
                </c:pt>
                <c:pt idx="28">
                  <c:v>El &amp; elektronik</c:v>
                </c:pt>
                <c:pt idx="29">
                  <c:v>Trä</c:v>
                </c:pt>
                <c:pt idx="30">
                  <c:v>Textil återvinningsbar</c:v>
                </c:pt>
                <c:pt idx="31">
                  <c:v>Textil återanvändingsbar</c:v>
                </c:pt>
                <c:pt idx="32">
                  <c:v>Blöjor, bindor o dyl</c:v>
                </c:pt>
                <c:pt idx="33">
                  <c:v>Allt annat </c:v>
                </c:pt>
              </c:strCache>
            </c:strRef>
          </c:cat>
          <c:val>
            <c:numRef>
              <c:f>'Tabell för diagram'!$B$3:$B$36</c:f>
              <c:numCache>
                <c:ptCount val="34"/>
                <c:pt idx="0">
                  <c:v>86.1</c:v>
                </c:pt>
                <c:pt idx="1">
                  <c:v>2</c:v>
                </c:pt>
                <c:pt idx="2">
                  <c:v>10.2</c:v>
                </c:pt>
                <c:pt idx="3">
                  <c:v>67.3</c:v>
                </c:pt>
                <c:pt idx="4">
                  <c:v>6.4</c:v>
                </c:pt>
                <c:pt idx="5">
                  <c:v>6.1</c:v>
                </c:pt>
                <c:pt idx="6">
                  <c:v>4</c:v>
                </c:pt>
                <c:pt idx="7">
                  <c:v>1.8</c:v>
                </c:pt>
                <c:pt idx="8">
                  <c:v>4.2</c:v>
                </c:pt>
                <c:pt idx="9">
                  <c:v>31.2</c:v>
                </c:pt>
                <c:pt idx="10">
                  <c:v>1.2</c:v>
                </c:pt>
                <c:pt idx="11">
                  <c:v>46.2</c:v>
                </c:pt>
                <c:pt idx="12">
                  <c:v>0.1</c:v>
                </c:pt>
                <c:pt idx="13">
                  <c:v>27.2</c:v>
                </c:pt>
                <c:pt idx="14">
                  <c:v>5.4</c:v>
                </c:pt>
                <c:pt idx="15">
                  <c:v>0.2</c:v>
                </c:pt>
                <c:pt idx="16">
                  <c:v>26.4</c:v>
                </c:pt>
                <c:pt idx="17">
                  <c:v>0.5</c:v>
                </c:pt>
                <c:pt idx="18">
                  <c:v>10.2</c:v>
                </c:pt>
                <c:pt idx="19">
                  <c:v>7.4</c:v>
                </c:pt>
                <c:pt idx="20">
                  <c:v>6.4</c:v>
                </c:pt>
                <c:pt idx="21">
                  <c:v>0</c:v>
                </c:pt>
                <c:pt idx="22">
                  <c:v>0.6</c:v>
                </c:pt>
                <c:pt idx="23">
                  <c:v>4.6</c:v>
                </c:pt>
                <c:pt idx="24">
                  <c:v>0.4</c:v>
                </c:pt>
                <c:pt idx="25">
                  <c:v>1.1</c:v>
                </c:pt>
                <c:pt idx="26">
                  <c:v>13.2</c:v>
                </c:pt>
                <c:pt idx="27">
                  <c:v>0.63155</c:v>
                </c:pt>
                <c:pt idx="28">
                  <c:v>1.65195</c:v>
                </c:pt>
                <c:pt idx="29">
                  <c:v>1.4</c:v>
                </c:pt>
                <c:pt idx="30">
                  <c:v>16.4</c:v>
                </c:pt>
                <c:pt idx="31">
                  <c:v>2.2</c:v>
                </c:pt>
                <c:pt idx="32">
                  <c:v>65.8</c:v>
                </c:pt>
                <c:pt idx="33">
                  <c:v>60.7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9525</xdr:rowOff>
    </xdr:from>
    <xdr:to>
      <xdr:col>5</xdr:col>
      <xdr:colOff>76200</xdr:colOff>
      <xdr:row>76</xdr:row>
      <xdr:rowOff>647700</xdr:rowOff>
    </xdr:to>
    <xdr:graphicFrame>
      <xdr:nvGraphicFramePr>
        <xdr:cNvPr id="1" name="Diagram 1"/>
        <xdr:cNvGraphicFramePr/>
      </xdr:nvGraphicFramePr>
      <xdr:xfrm>
        <a:off x="47625" y="16621125"/>
        <a:ext cx="45910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104775</xdr:colOff>
      <xdr:row>1</xdr:row>
      <xdr:rowOff>76200</xdr:rowOff>
    </xdr:from>
    <xdr:to>
      <xdr:col>6</xdr:col>
      <xdr:colOff>762000</xdr:colOff>
      <xdr:row>6</xdr:row>
      <xdr:rowOff>38100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8575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1.00390625" style="4" customWidth="1"/>
    <col min="2" max="2" width="24.8515625" style="1" customWidth="1"/>
    <col min="3" max="3" width="7.7109375" style="4" customWidth="1"/>
    <col min="4" max="4" width="7.00390625" style="1" customWidth="1"/>
    <col min="5" max="5" width="7.8515625" style="74" customWidth="1"/>
    <col min="6" max="6" width="7.8515625" style="34" customWidth="1"/>
    <col min="7" max="7" width="13.140625" style="4" customWidth="1"/>
    <col min="8" max="8" width="2.00390625" style="4" hidden="1" customWidth="1"/>
    <col min="9" max="9" width="9.140625" style="6" customWidth="1"/>
    <col min="10" max="10" width="42.28125" style="6" customWidth="1"/>
    <col min="11" max="11" width="12.421875" style="4" customWidth="1"/>
    <col min="12" max="12" width="13.140625" style="4" customWidth="1"/>
    <col min="13" max="16384" width="9.140625" style="4" customWidth="1"/>
  </cols>
  <sheetData>
    <row r="1" spans="1:8" ht="16.5">
      <c r="A1" s="40" t="s">
        <v>9</v>
      </c>
      <c r="B1" s="3"/>
      <c r="C1" s="44"/>
      <c r="D1" s="4"/>
      <c r="E1" s="4"/>
      <c r="F1" s="43"/>
      <c r="G1" s="5"/>
      <c r="H1" s="2"/>
    </row>
    <row r="2" spans="1:8" ht="15.75">
      <c r="A2" s="41" t="s">
        <v>117</v>
      </c>
      <c r="B2" s="76"/>
      <c r="C2" s="41" t="s">
        <v>29</v>
      </c>
      <c r="D2" s="42" t="s">
        <v>72</v>
      </c>
      <c r="E2" s="78"/>
      <c r="F2" s="43"/>
      <c r="G2" s="5"/>
      <c r="H2" s="2"/>
    </row>
    <row r="3" spans="1:8" ht="15.75">
      <c r="A3" s="41" t="s">
        <v>109</v>
      </c>
      <c r="B3" s="42" t="s">
        <v>116</v>
      </c>
      <c r="C3" s="41"/>
      <c r="D3" s="42"/>
      <c r="E3" s="78"/>
      <c r="F3" s="43"/>
      <c r="G3" s="5"/>
      <c r="H3" s="2"/>
    </row>
    <row r="4" spans="1:8" ht="15.75">
      <c r="A4" s="41" t="s">
        <v>110</v>
      </c>
      <c r="B4" s="42" t="s">
        <v>118</v>
      </c>
      <c r="C4" s="41"/>
      <c r="D4" s="42"/>
      <c r="E4" s="78"/>
      <c r="F4" s="43"/>
      <c r="G4" s="5"/>
      <c r="H4" s="2"/>
    </row>
    <row r="5" spans="1:8" ht="15.75">
      <c r="A5" s="41" t="s">
        <v>111</v>
      </c>
      <c r="B5" s="42" t="s">
        <v>114</v>
      </c>
      <c r="C5" s="41"/>
      <c r="D5" s="42"/>
      <c r="E5" s="78"/>
      <c r="F5" s="43"/>
      <c r="G5" s="5"/>
      <c r="H5" s="2"/>
    </row>
    <row r="6" spans="1:8" ht="15.75">
      <c r="A6" s="41" t="s">
        <v>112</v>
      </c>
      <c r="B6" s="42" t="s">
        <v>115</v>
      </c>
      <c r="C6" s="41"/>
      <c r="D6" s="42"/>
      <c r="E6" s="78"/>
      <c r="F6" s="43"/>
      <c r="G6" s="5"/>
      <c r="H6" s="2"/>
    </row>
    <row r="7" spans="1:8" ht="15.75">
      <c r="A7" s="41" t="s">
        <v>16</v>
      </c>
      <c r="B7" s="77">
        <v>2</v>
      </c>
      <c r="C7" s="41"/>
      <c r="D7" s="42"/>
      <c r="E7" s="78"/>
      <c r="F7" s="43"/>
      <c r="G7" s="5"/>
      <c r="H7" s="2"/>
    </row>
    <row r="8" spans="1:8" ht="15.75">
      <c r="A8" s="41" t="s">
        <v>15</v>
      </c>
      <c r="B8" s="77">
        <v>662</v>
      </c>
      <c r="C8" s="41"/>
      <c r="D8" s="42"/>
      <c r="E8" s="78"/>
      <c r="F8" s="43"/>
      <c r="G8" s="5"/>
      <c r="H8" s="2"/>
    </row>
    <row r="9" spans="1:8" ht="19.5" customHeight="1">
      <c r="A9" s="41" t="s">
        <v>33</v>
      </c>
      <c r="B9" s="77">
        <v>3220</v>
      </c>
      <c r="C9" s="41"/>
      <c r="D9" s="42"/>
      <c r="E9" s="78"/>
      <c r="F9" s="43"/>
      <c r="G9" s="5"/>
      <c r="H9" s="2"/>
    </row>
    <row r="10" spans="2:8" ht="16.5" customHeight="1">
      <c r="B10" s="4"/>
      <c r="C10" s="44"/>
      <c r="D10" s="45"/>
      <c r="E10" s="45"/>
      <c r="F10" s="43"/>
      <c r="G10" s="5"/>
      <c r="H10" s="2"/>
    </row>
    <row r="11" spans="1:8" ht="30" customHeight="1">
      <c r="A11" s="46" t="s">
        <v>37</v>
      </c>
      <c r="B11" s="46" t="s">
        <v>36</v>
      </c>
      <c r="C11" s="46" t="s">
        <v>7</v>
      </c>
      <c r="D11" s="46" t="s">
        <v>35</v>
      </c>
      <c r="E11" s="81" t="s">
        <v>34</v>
      </c>
      <c r="F11" s="46" t="s">
        <v>11</v>
      </c>
      <c r="G11" s="46" t="s">
        <v>10</v>
      </c>
      <c r="H11" s="47"/>
    </row>
    <row r="12" spans="1:8" ht="30">
      <c r="A12" s="154" t="s">
        <v>30</v>
      </c>
      <c r="B12" s="48" t="s">
        <v>24</v>
      </c>
      <c r="C12" s="10">
        <f aca="true" t="shared" si="0" ref="C12:C17">IF(D12="","",D12/Totalt)</f>
        <v>0.16583731956042513</v>
      </c>
      <c r="D12" s="8">
        <v>86.1</v>
      </c>
      <c r="E12" s="82">
        <f>C12*E59</f>
        <v>0.40332036932369253</v>
      </c>
      <c r="F12" s="9"/>
      <c r="G12" s="95"/>
      <c r="H12" s="11"/>
    </row>
    <row r="13" spans="1:8" ht="30">
      <c r="A13" s="155"/>
      <c r="B13" s="108" t="s">
        <v>25</v>
      </c>
      <c r="C13" s="10">
        <f t="shared" si="0"/>
        <v>0.0038522025449576106</v>
      </c>
      <c r="D13" s="15">
        <v>2</v>
      </c>
      <c r="E13" s="109">
        <f aca="true" t="shared" si="1" ref="E13:E44">C13*$E$59</f>
        <v>0.00936864969393014</v>
      </c>
      <c r="F13" s="7"/>
      <c r="G13" s="96"/>
      <c r="H13" s="11"/>
    </row>
    <row r="14" spans="1:8" ht="27.75" customHeight="1">
      <c r="A14" s="155"/>
      <c r="B14" s="49" t="s">
        <v>26</v>
      </c>
      <c r="C14" s="10">
        <f t="shared" si="0"/>
        <v>0.019646232979283813</v>
      </c>
      <c r="D14" s="12">
        <v>10.2</v>
      </c>
      <c r="E14" s="83">
        <f t="shared" si="1"/>
        <v>0.04778011343904371</v>
      </c>
      <c r="F14" s="13"/>
      <c r="G14" s="95"/>
      <c r="H14" s="11"/>
    </row>
    <row r="15" spans="1:11" ht="45">
      <c r="A15" s="155"/>
      <c r="B15" s="108" t="s">
        <v>27</v>
      </c>
      <c r="C15" s="10">
        <f t="shared" si="0"/>
        <v>0.1296266156378236</v>
      </c>
      <c r="D15" s="15">
        <v>67.3</v>
      </c>
      <c r="E15" s="110">
        <f t="shared" si="1"/>
        <v>0.3152550622007492</v>
      </c>
      <c r="F15" s="7"/>
      <c r="G15" s="96"/>
      <c r="H15" s="11"/>
      <c r="K15" s="14"/>
    </row>
    <row r="16" spans="1:13" ht="60">
      <c r="A16" s="155"/>
      <c r="B16" s="102" t="s">
        <v>75</v>
      </c>
      <c r="C16" s="10">
        <f t="shared" si="0"/>
        <v>0.012327048143864355</v>
      </c>
      <c r="D16" s="15">
        <v>6.4</v>
      </c>
      <c r="E16" s="83">
        <f t="shared" si="1"/>
        <v>0.02997967902057645</v>
      </c>
      <c r="F16" s="7"/>
      <c r="G16" s="96"/>
      <c r="H16" s="11"/>
      <c r="J16" s="134" t="s">
        <v>119</v>
      </c>
      <c r="K16" s="135" t="s">
        <v>68</v>
      </c>
      <c r="L16" s="135" t="s">
        <v>69</v>
      </c>
      <c r="M16" s="135" t="s">
        <v>70</v>
      </c>
    </row>
    <row r="17" spans="1:13" ht="15.75" customHeight="1">
      <c r="A17" s="156"/>
      <c r="B17" s="111" t="s">
        <v>8</v>
      </c>
      <c r="C17" s="10">
        <f t="shared" si="0"/>
        <v>0.011749217762120711</v>
      </c>
      <c r="D17" s="112">
        <v>6.1</v>
      </c>
      <c r="E17" s="110">
        <f t="shared" si="1"/>
        <v>0.028574381566486926</v>
      </c>
      <c r="F17" s="16"/>
      <c r="G17" s="133"/>
      <c r="H17" s="11"/>
      <c r="J17" s="104" t="s">
        <v>39</v>
      </c>
      <c r="K17" s="105">
        <f>E19+E20</f>
        <v>0.027169084112397407</v>
      </c>
      <c r="L17" s="105">
        <f aca="true" t="shared" si="2" ref="L17:L22">K17*M17</f>
        <v>0.021191885607669977</v>
      </c>
      <c r="M17" s="128">
        <v>0.78</v>
      </c>
    </row>
    <row r="18" spans="1:13" ht="16.5" customHeight="1">
      <c r="A18" s="50"/>
      <c r="B18" s="51" t="s">
        <v>38</v>
      </c>
      <c r="C18" s="19">
        <f>SUM(C12:C17)</f>
        <v>0.3430386366284752</v>
      </c>
      <c r="D18" s="17">
        <f>SUM(D12:D17)</f>
        <v>178.1</v>
      </c>
      <c r="E18" s="84">
        <f t="shared" si="1"/>
        <v>0.834278255244479</v>
      </c>
      <c r="F18" s="18"/>
      <c r="G18" s="97"/>
      <c r="H18" s="20"/>
      <c r="J18" s="104" t="s">
        <v>41</v>
      </c>
      <c r="K18" s="105">
        <f>E21+E22+E23</f>
        <v>0.17144628939892156</v>
      </c>
      <c r="L18" s="105">
        <f t="shared" si="2"/>
        <v>0.11829793968525587</v>
      </c>
      <c r="M18" s="128">
        <v>0.69</v>
      </c>
    </row>
    <row r="19" spans="1:13" ht="17.25" customHeight="1">
      <c r="A19" s="154" t="s">
        <v>12</v>
      </c>
      <c r="B19" s="111" t="s">
        <v>86</v>
      </c>
      <c r="C19" s="10">
        <f aca="true" t="shared" si="3" ref="C19:C25">IF(D19="","",D19/Totalt)</f>
        <v>0.007704405089915221</v>
      </c>
      <c r="D19" s="22">
        <v>4</v>
      </c>
      <c r="E19" s="110">
        <f t="shared" si="1"/>
        <v>0.01873729938786028</v>
      </c>
      <c r="F19" s="21"/>
      <c r="G19" s="98"/>
      <c r="H19" s="11"/>
      <c r="J19" s="104" t="s">
        <v>44</v>
      </c>
      <c r="K19" s="105">
        <f>E27+E28+E29</f>
        <v>0.15364585498045433</v>
      </c>
      <c r="L19" s="105">
        <f t="shared" si="2"/>
        <v>0.11677084978514529</v>
      </c>
      <c r="M19" s="128">
        <v>0.76</v>
      </c>
    </row>
    <row r="20" spans="1:13" ht="17.25" customHeight="1">
      <c r="A20" s="155"/>
      <c r="B20" s="111" t="s">
        <v>77</v>
      </c>
      <c r="C20" s="10">
        <f t="shared" si="3"/>
        <v>0.00346698229046185</v>
      </c>
      <c r="D20" s="22">
        <v>1.8</v>
      </c>
      <c r="E20" s="110">
        <f t="shared" si="1"/>
        <v>0.008431784724537126</v>
      </c>
      <c r="F20" s="21"/>
      <c r="G20" s="98"/>
      <c r="H20" s="11"/>
      <c r="J20" s="104" t="s">
        <v>46</v>
      </c>
      <c r="K20" s="105">
        <f>E30+E31</f>
        <v>0.12600833838336037</v>
      </c>
      <c r="L20" s="105">
        <f t="shared" si="2"/>
        <v>0.08820583686835225</v>
      </c>
      <c r="M20" s="128">
        <v>0.7</v>
      </c>
    </row>
    <row r="21" spans="1:13" ht="16.5" customHeight="1">
      <c r="A21" s="155"/>
      <c r="B21" s="111" t="s">
        <v>40</v>
      </c>
      <c r="C21" s="10">
        <f t="shared" si="3"/>
        <v>0.008089625344410982</v>
      </c>
      <c r="D21" s="22">
        <v>4.2</v>
      </c>
      <c r="E21" s="110">
        <f t="shared" si="1"/>
        <v>0.019674164357253294</v>
      </c>
      <c r="F21" s="21"/>
      <c r="G21" s="98"/>
      <c r="H21" s="11"/>
      <c r="J21" s="104" t="s">
        <v>49</v>
      </c>
      <c r="K21" s="105">
        <f>E35+E36</f>
        <v>0.02997967902057645</v>
      </c>
      <c r="L21" s="105">
        <f t="shared" si="2"/>
        <v>0.02878049185975339</v>
      </c>
      <c r="M21" s="128">
        <v>0.96</v>
      </c>
    </row>
    <row r="22" spans="1:13" ht="16.5" customHeight="1">
      <c r="A22" s="155"/>
      <c r="B22" s="111" t="s">
        <v>41</v>
      </c>
      <c r="C22" s="10">
        <f t="shared" si="3"/>
        <v>0.06009435970133872</v>
      </c>
      <c r="D22" s="22">
        <v>31.2</v>
      </c>
      <c r="E22" s="110">
        <f t="shared" si="1"/>
        <v>0.14615093522531017</v>
      </c>
      <c r="F22" s="21"/>
      <c r="G22" s="98"/>
      <c r="H22" s="11"/>
      <c r="J22" s="104" t="s">
        <v>52</v>
      </c>
      <c r="K22" s="105">
        <f>E39+E40</f>
        <v>0.02342162423482535</v>
      </c>
      <c r="L22" s="105">
        <f t="shared" si="2"/>
        <v>0.01873729938786028</v>
      </c>
      <c r="M22" s="128">
        <v>0.8</v>
      </c>
    </row>
    <row r="23" spans="1:13" ht="16.5" customHeight="1">
      <c r="A23" s="155"/>
      <c r="B23" s="111" t="s">
        <v>76</v>
      </c>
      <c r="C23" s="10">
        <f t="shared" si="3"/>
        <v>0.0023113215269745663</v>
      </c>
      <c r="D23" s="22">
        <v>1.2</v>
      </c>
      <c r="E23" s="110">
        <f t="shared" si="1"/>
        <v>0.005621189816358084</v>
      </c>
      <c r="F23" s="116">
        <v>12</v>
      </c>
      <c r="G23" s="98"/>
      <c r="H23" s="11"/>
      <c r="J23" s="103" t="s">
        <v>32</v>
      </c>
      <c r="K23" s="106">
        <f>SUM(K17:K22)</f>
        <v>0.5316708701305354</v>
      </c>
      <c r="L23" s="106">
        <f>SUM(L17:L22)</f>
        <v>0.3919843031940371</v>
      </c>
      <c r="M23" s="103"/>
    </row>
    <row r="24" spans="1:10" ht="16.5" customHeight="1">
      <c r="A24" s="155"/>
      <c r="B24" s="111" t="s">
        <v>42</v>
      </c>
      <c r="C24" s="10">
        <f t="shared" si="3"/>
        <v>0.08898587878852081</v>
      </c>
      <c r="D24" s="113">
        <v>46.2</v>
      </c>
      <c r="E24" s="110">
        <f t="shared" si="1"/>
        <v>0.21641580792978624</v>
      </c>
      <c r="F24" s="21"/>
      <c r="G24" s="52"/>
      <c r="H24" s="11"/>
      <c r="J24" s="107" t="s">
        <v>71</v>
      </c>
    </row>
    <row r="25" spans="1:10" ht="16.5" customHeight="1">
      <c r="A25" s="156"/>
      <c r="B25" s="111" t="s">
        <v>113</v>
      </c>
      <c r="C25" s="10">
        <f t="shared" si="3"/>
        <v>0.00019261012724788054</v>
      </c>
      <c r="D25" s="113">
        <v>0.1</v>
      </c>
      <c r="E25" s="110">
        <f t="shared" si="1"/>
        <v>0.000468432484696507</v>
      </c>
      <c r="F25" s="116">
        <v>1</v>
      </c>
      <c r="G25" s="149"/>
      <c r="H25" s="11"/>
      <c r="J25" s="107"/>
    </row>
    <row r="26" spans="1:8" ht="16.5" customHeight="1">
      <c r="A26" s="50"/>
      <c r="B26" s="53" t="s">
        <v>43</v>
      </c>
      <c r="C26" s="19">
        <f aca="true" t="shared" si="4" ref="C26:C47">IF(D26=0,0,D26/Totalt)</f>
        <v>0.17084518286887004</v>
      </c>
      <c r="D26" s="23">
        <f>SUM(D19:D25)</f>
        <v>88.7</v>
      </c>
      <c r="E26" s="84">
        <f t="shared" si="1"/>
        <v>0.41549961392580176</v>
      </c>
      <c r="F26" s="24"/>
      <c r="G26" s="99"/>
      <c r="H26" s="20"/>
    </row>
    <row r="27" spans="1:8" ht="15.75" customHeight="1">
      <c r="A27" s="154" t="s">
        <v>0</v>
      </c>
      <c r="B27" s="111" t="s">
        <v>44</v>
      </c>
      <c r="C27" s="114">
        <f t="shared" si="4"/>
        <v>0.052389954611423505</v>
      </c>
      <c r="D27" s="22">
        <v>27.2</v>
      </c>
      <c r="E27" s="110">
        <f t="shared" si="1"/>
        <v>0.1274136358374499</v>
      </c>
      <c r="F27" s="21"/>
      <c r="G27" s="98"/>
      <c r="H27" s="11"/>
    </row>
    <row r="28" spans="1:10" ht="15.75" customHeight="1">
      <c r="A28" s="155"/>
      <c r="B28" s="111" t="s">
        <v>73</v>
      </c>
      <c r="C28" s="114">
        <f t="shared" si="4"/>
        <v>0.01040094687138555</v>
      </c>
      <c r="D28" s="22">
        <v>5.4</v>
      </c>
      <c r="E28" s="110">
        <f t="shared" si="1"/>
        <v>0.02529535417361138</v>
      </c>
      <c r="F28" s="116">
        <v>132</v>
      </c>
      <c r="G28" s="98"/>
      <c r="H28" s="11"/>
      <c r="J28" s="107"/>
    </row>
    <row r="29" spans="1:8" ht="15.75" customHeight="1">
      <c r="A29" s="155"/>
      <c r="B29" s="111" t="s">
        <v>45</v>
      </c>
      <c r="C29" s="114">
        <f t="shared" si="4"/>
        <v>0.0003852202544957611</v>
      </c>
      <c r="D29" s="22">
        <v>0.2</v>
      </c>
      <c r="E29" s="110">
        <f t="shared" si="1"/>
        <v>0.000936864969393014</v>
      </c>
      <c r="F29" s="21"/>
      <c r="G29" s="98"/>
      <c r="H29" s="11"/>
    </row>
    <row r="30" spans="1:14" ht="60" customHeight="1">
      <c r="A30" s="155"/>
      <c r="B30" s="111" t="s">
        <v>46</v>
      </c>
      <c r="C30" s="114">
        <f t="shared" si="4"/>
        <v>0.05084907359344046</v>
      </c>
      <c r="D30" s="22">
        <v>26.4</v>
      </c>
      <c r="E30" s="110">
        <f t="shared" si="1"/>
        <v>0.12366617595987785</v>
      </c>
      <c r="F30" s="21"/>
      <c r="G30" s="98"/>
      <c r="H30" s="11"/>
      <c r="J30" s="136" t="s">
        <v>119</v>
      </c>
      <c r="K30" s="137" t="s">
        <v>92</v>
      </c>
      <c r="L30" s="135" t="s">
        <v>68</v>
      </c>
      <c r="M30" s="135" t="s">
        <v>69</v>
      </c>
      <c r="N30" s="135" t="s">
        <v>70</v>
      </c>
    </row>
    <row r="31" spans="1:14" ht="15.75" customHeight="1">
      <c r="A31" s="155"/>
      <c r="B31" s="111" t="s">
        <v>78</v>
      </c>
      <c r="C31" s="114">
        <f t="shared" si="4"/>
        <v>0.0009630506362394027</v>
      </c>
      <c r="D31" s="22">
        <v>0.5</v>
      </c>
      <c r="E31" s="110">
        <f t="shared" si="1"/>
        <v>0.002342162423482535</v>
      </c>
      <c r="F31" s="116">
        <v>10</v>
      </c>
      <c r="G31" s="98"/>
      <c r="H31" s="11"/>
      <c r="J31" s="126" t="s">
        <v>76</v>
      </c>
      <c r="K31" s="57">
        <f>F23</f>
        <v>12</v>
      </c>
      <c r="L31" s="127">
        <f>E23</f>
        <v>0.005621189816358084</v>
      </c>
      <c r="M31" s="127">
        <f>L31*N31</f>
        <v>0.003878620973287078</v>
      </c>
      <c r="N31" s="57">
        <v>0.69</v>
      </c>
    </row>
    <row r="32" spans="1:14" ht="15.75" customHeight="1">
      <c r="A32" s="155"/>
      <c r="B32" s="111" t="s">
        <v>47</v>
      </c>
      <c r="C32" s="114">
        <f t="shared" si="4"/>
        <v>0.019646232979283813</v>
      </c>
      <c r="D32" s="22">
        <v>10.2</v>
      </c>
      <c r="E32" s="110">
        <f t="shared" si="1"/>
        <v>0.04778011343904371</v>
      </c>
      <c r="F32" s="117"/>
      <c r="G32" s="98"/>
      <c r="H32" s="11"/>
      <c r="J32" s="126" t="s">
        <v>103</v>
      </c>
      <c r="K32" s="57">
        <f>F25</f>
        <v>1</v>
      </c>
      <c r="L32" s="127">
        <f>D25</f>
        <v>0.1</v>
      </c>
      <c r="M32" s="127">
        <f>L32*N32</f>
        <v>0.06899999999999999</v>
      </c>
      <c r="N32" s="57">
        <v>0.69</v>
      </c>
    </row>
    <row r="33" spans="1:14" ht="15.75" customHeight="1">
      <c r="A33" s="156"/>
      <c r="B33" s="111" t="s">
        <v>79</v>
      </c>
      <c r="C33" s="114">
        <f t="shared" si="4"/>
        <v>0.01425314941634316</v>
      </c>
      <c r="D33" s="22">
        <v>7.4</v>
      </c>
      <c r="E33" s="110">
        <f t="shared" si="1"/>
        <v>0.03466400386754152</v>
      </c>
      <c r="F33" s="116">
        <v>85</v>
      </c>
      <c r="G33" s="98"/>
      <c r="H33" s="11"/>
      <c r="J33" s="126" t="s">
        <v>87</v>
      </c>
      <c r="K33" s="57">
        <f>F28</f>
        <v>132</v>
      </c>
      <c r="L33" s="127">
        <f>E28</f>
        <v>0.02529535417361138</v>
      </c>
      <c r="M33" s="127">
        <f>L33*N33</f>
        <v>0.01922446917194465</v>
      </c>
      <c r="N33" s="57">
        <v>0.76</v>
      </c>
    </row>
    <row r="34" spans="1:14" ht="15.75" customHeight="1">
      <c r="A34" s="50"/>
      <c r="B34" s="54" t="s">
        <v>48</v>
      </c>
      <c r="C34" s="19">
        <f t="shared" si="4"/>
        <v>0.14888762836261168</v>
      </c>
      <c r="D34" s="23">
        <f>SUM(D27:D33)</f>
        <v>77.30000000000001</v>
      </c>
      <c r="E34" s="84">
        <f t="shared" si="1"/>
        <v>0.3620983106704</v>
      </c>
      <c r="F34" s="118"/>
      <c r="G34" s="99"/>
      <c r="H34" s="20"/>
      <c r="J34" s="126" t="s">
        <v>88</v>
      </c>
      <c r="K34" s="57">
        <f>F33</f>
        <v>85</v>
      </c>
      <c r="L34" s="127">
        <f>E33</f>
        <v>0.03466400386754152</v>
      </c>
      <c r="M34" s="127">
        <f>L34*N34</f>
        <v>0.02634464293933155</v>
      </c>
      <c r="N34" s="57">
        <v>0.76</v>
      </c>
    </row>
    <row r="35" spans="1:8" ht="17.25" customHeight="1">
      <c r="A35" s="154" t="s">
        <v>1</v>
      </c>
      <c r="B35" s="111" t="s">
        <v>49</v>
      </c>
      <c r="C35" s="114">
        <f t="shared" si="4"/>
        <v>0.012327048143864355</v>
      </c>
      <c r="D35" s="22">
        <v>6.4</v>
      </c>
      <c r="E35" s="110">
        <f t="shared" si="1"/>
        <v>0.02997967902057645</v>
      </c>
      <c r="F35" s="117"/>
      <c r="G35" s="98"/>
      <c r="H35" s="11"/>
    </row>
    <row r="36" spans="1:13" ht="17.25" customHeight="1">
      <c r="A36" s="155"/>
      <c r="B36" s="111" t="s">
        <v>80</v>
      </c>
      <c r="C36" s="114">
        <f t="shared" si="4"/>
        <v>0</v>
      </c>
      <c r="D36" s="22">
        <v>0</v>
      </c>
      <c r="E36" s="110">
        <f t="shared" si="1"/>
        <v>0</v>
      </c>
      <c r="F36" s="116">
        <v>0</v>
      </c>
      <c r="G36" s="98"/>
      <c r="H36" s="11"/>
      <c r="J36" s="136" t="s">
        <v>104</v>
      </c>
      <c r="K36" s="137" t="s">
        <v>92</v>
      </c>
      <c r="L36" s="137" t="s">
        <v>108</v>
      </c>
      <c r="M36" s="137" t="s">
        <v>105</v>
      </c>
    </row>
    <row r="37" spans="1:13" ht="17.25" customHeight="1">
      <c r="A37" s="156"/>
      <c r="B37" s="111" t="s">
        <v>50</v>
      </c>
      <c r="C37" s="115">
        <f t="shared" si="4"/>
        <v>0.0011556607634872831</v>
      </c>
      <c r="D37" s="153">
        <v>0.6</v>
      </c>
      <c r="E37" s="124">
        <f t="shared" si="1"/>
        <v>0.002810594908179042</v>
      </c>
      <c r="F37" s="117"/>
      <c r="G37" s="98"/>
      <c r="H37" s="11"/>
      <c r="J37" s="126" t="s">
        <v>89</v>
      </c>
      <c r="K37" s="129">
        <f>F31</f>
        <v>10</v>
      </c>
      <c r="L37" s="142">
        <f>(F31/Totalt)*100</f>
        <v>1.9261012724788054</v>
      </c>
      <c r="M37" s="130">
        <f>D31</f>
        <v>0.5</v>
      </c>
    </row>
    <row r="38" spans="1:13" ht="15" customHeight="1">
      <c r="A38" s="50"/>
      <c r="B38" s="53" t="s">
        <v>51</v>
      </c>
      <c r="C38" s="19">
        <f t="shared" si="4"/>
        <v>0.013482708907351638</v>
      </c>
      <c r="D38" s="23">
        <f>SUM(D35:D37)</f>
        <v>7</v>
      </c>
      <c r="E38" s="84">
        <f t="shared" si="1"/>
        <v>0.03279027392875549</v>
      </c>
      <c r="F38" s="118"/>
      <c r="G38" s="99"/>
      <c r="H38" s="20"/>
      <c r="J38" s="126" t="s">
        <v>90</v>
      </c>
      <c r="K38" s="129">
        <f>F36</f>
        <v>0</v>
      </c>
      <c r="L38" s="142">
        <v>0</v>
      </c>
      <c r="M38" s="130">
        <f>D36</f>
        <v>0</v>
      </c>
    </row>
    <row r="39" spans="1:13" ht="15.75" customHeight="1">
      <c r="A39" s="154" t="s">
        <v>2</v>
      </c>
      <c r="B39" s="111" t="s">
        <v>52</v>
      </c>
      <c r="C39" s="114">
        <f t="shared" si="4"/>
        <v>0.008860065853402503</v>
      </c>
      <c r="D39" s="22">
        <v>4.6</v>
      </c>
      <c r="E39" s="110">
        <f t="shared" si="1"/>
        <v>0.02154789429603932</v>
      </c>
      <c r="F39" s="117"/>
      <c r="G39" s="98"/>
      <c r="H39" s="11"/>
      <c r="J39" s="126" t="s">
        <v>91</v>
      </c>
      <c r="K39" s="129">
        <f>F40</f>
        <v>13</v>
      </c>
      <c r="L39" s="142">
        <f>(F40/Totalt)*100</f>
        <v>2.503931654222447</v>
      </c>
      <c r="M39" s="130">
        <f>D39</f>
        <v>4.6</v>
      </c>
    </row>
    <row r="40" spans="1:8" ht="15.75" customHeight="1">
      <c r="A40" s="155"/>
      <c r="B40" s="111" t="s">
        <v>81</v>
      </c>
      <c r="C40" s="114">
        <f t="shared" si="4"/>
        <v>0.0007704405089915222</v>
      </c>
      <c r="D40" s="22">
        <v>0.4</v>
      </c>
      <c r="E40" s="110">
        <f t="shared" si="1"/>
        <v>0.001873729938786028</v>
      </c>
      <c r="F40" s="116">
        <v>13</v>
      </c>
      <c r="G40" s="98"/>
      <c r="H40" s="11"/>
    </row>
    <row r="41" spans="1:13" ht="15" customHeight="1">
      <c r="A41" s="156"/>
      <c r="B41" s="111" t="s">
        <v>53</v>
      </c>
      <c r="C41" s="114">
        <f t="shared" si="4"/>
        <v>0.002118711399726686</v>
      </c>
      <c r="D41" s="22">
        <v>1.1</v>
      </c>
      <c r="E41" s="110">
        <f t="shared" si="1"/>
        <v>0.0051527573316615775</v>
      </c>
      <c r="F41" s="117"/>
      <c r="G41" s="98"/>
      <c r="H41" s="11"/>
      <c r="J41" s="136" t="s">
        <v>106</v>
      </c>
      <c r="K41" s="137" t="s">
        <v>92</v>
      </c>
      <c r="L41" s="137" t="s">
        <v>108</v>
      </c>
      <c r="M41" s="137" t="s">
        <v>105</v>
      </c>
    </row>
    <row r="42" spans="1:13" ht="14.25" customHeight="1">
      <c r="A42" s="50"/>
      <c r="B42" s="54" t="s">
        <v>54</v>
      </c>
      <c r="C42" s="19">
        <f t="shared" si="4"/>
        <v>0.011749217762120711</v>
      </c>
      <c r="D42" s="23">
        <f>SUM(D39:D41)</f>
        <v>6.1</v>
      </c>
      <c r="E42" s="84">
        <f t="shared" si="1"/>
        <v>0.028574381566486926</v>
      </c>
      <c r="F42" s="119"/>
      <c r="G42" s="100"/>
      <c r="H42" s="20"/>
      <c r="J42" s="60" t="s">
        <v>31</v>
      </c>
      <c r="K42" s="60">
        <f>Antal23</f>
        <v>5</v>
      </c>
      <c r="L42" s="142">
        <f>(Antal23/Totalt)*100</f>
        <v>0.9630506362394027</v>
      </c>
      <c r="M42" s="151">
        <f>D49</f>
        <v>0.17685</v>
      </c>
    </row>
    <row r="43" spans="1:13" ht="17.25" customHeight="1">
      <c r="A43" s="75" t="s">
        <v>13</v>
      </c>
      <c r="B43" s="101" t="s">
        <v>14</v>
      </c>
      <c r="C43" s="114">
        <f t="shared" si="4"/>
        <v>0.02542453679672023</v>
      </c>
      <c r="D43" s="22">
        <v>13.2</v>
      </c>
      <c r="E43" s="83">
        <f t="shared" si="1"/>
        <v>0.061833087979938924</v>
      </c>
      <c r="F43" s="117"/>
      <c r="G43" s="98"/>
      <c r="H43" s="20"/>
      <c r="J43" s="60" t="s">
        <v>107</v>
      </c>
      <c r="K43" s="60">
        <f>Antal26</f>
        <v>15</v>
      </c>
      <c r="L43" s="142">
        <f>(Antal26/Totalt)*100</f>
        <v>2.889151908718208</v>
      </c>
      <c r="M43" s="131">
        <f>D50</f>
        <v>0.2751</v>
      </c>
    </row>
    <row r="44" spans="1:13" ht="15" customHeight="1">
      <c r="A44" s="80"/>
      <c r="B44" s="55" t="s">
        <v>55</v>
      </c>
      <c r="C44" s="19">
        <f t="shared" si="4"/>
        <v>0.02542453679672023</v>
      </c>
      <c r="D44" s="23">
        <f>Vikt28</f>
        <v>13.2</v>
      </c>
      <c r="E44" s="84">
        <f t="shared" si="1"/>
        <v>0.061833087979938924</v>
      </c>
      <c r="F44" s="120"/>
      <c r="G44" s="99"/>
      <c r="H44" s="5"/>
      <c r="J44" s="60" t="s">
        <v>74</v>
      </c>
      <c r="K44" s="60">
        <f>Antal24</f>
        <v>2</v>
      </c>
      <c r="L44" s="142">
        <f>(Antal24/Totalt)*100</f>
        <v>0.3852202544957611</v>
      </c>
      <c r="M44" s="141">
        <f>D46</f>
        <v>0.3141</v>
      </c>
    </row>
    <row r="45" spans="1:8" ht="15">
      <c r="A45" s="154" t="s">
        <v>3</v>
      </c>
      <c r="B45" s="111" t="s">
        <v>82</v>
      </c>
      <c r="C45" s="114">
        <f t="shared" si="4"/>
        <v>0.0004087186900200025</v>
      </c>
      <c r="D45" s="92">
        <v>0.2122</v>
      </c>
      <c r="E45" s="110">
        <f>C45*$E$59</f>
        <v>0.0009940137325259878</v>
      </c>
      <c r="F45" s="121">
        <v>2</v>
      </c>
      <c r="G45" s="98"/>
      <c r="H45" s="5"/>
    </row>
    <row r="46" spans="1:8" ht="15">
      <c r="A46" s="155"/>
      <c r="B46" s="111" t="s">
        <v>83</v>
      </c>
      <c r="C46" s="114">
        <f t="shared" si="4"/>
        <v>0.0006049884096855927</v>
      </c>
      <c r="D46" s="92">
        <v>0.3141</v>
      </c>
      <c r="E46" s="110">
        <f aca="true" t="shared" si="5" ref="E46:E58">C46*$E$59</f>
        <v>0.0014713464344317286</v>
      </c>
      <c r="F46" s="117"/>
      <c r="G46" s="98"/>
      <c r="H46" s="5"/>
    </row>
    <row r="47" spans="1:8" ht="15">
      <c r="A47" s="156"/>
      <c r="B47" s="111" t="s">
        <v>56</v>
      </c>
      <c r="C47" s="114">
        <f t="shared" si="4"/>
        <v>0.00020272215892839425</v>
      </c>
      <c r="D47" s="92">
        <v>0.10525</v>
      </c>
      <c r="E47" s="124">
        <f t="shared" si="5"/>
        <v>0.0004930251901430736</v>
      </c>
      <c r="F47" s="117"/>
      <c r="G47" s="98"/>
      <c r="H47" s="5"/>
    </row>
    <row r="48" spans="1:8" ht="16.5" customHeight="1">
      <c r="A48" s="50"/>
      <c r="B48" s="54" t="s">
        <v>57</v>
      </c>
      <c r="C48" s="94">
        <f>SUM(C45:C47)</f>
        <v>0.0012164292586339897</v>
      </c>
      <c r="D48" s="93">
        <f>SUM(D45:D47)</f>
        <v>0.63155</v>
      </c>
      <c r="E48" s="125">
        <f t="shared" si="5"/>
        <v>0.0029583853571007904</v>
      </c>
      <c r="F48" s="118"/>
      <c r="G48" s="99"/>
      <c r="H48" s="26"/>
    </row>
    <row r="49" spans="1:8" ht="19.5" customHeight="1">
      <c r="A49" s="154" t="s">
        <v>4</v>
      </c>
      <c r="B49" s="111" t="s">
        <v>58</v>
      </c>
      <c r="C49" s="115">
        <f aca="true" t="shared" si="6" ref="C49:C57">IF(D49=0,0,D49/Totalt)</f>
        <v>0.0003406310100378767</v>
      </c>
      <c r="D49" s="92">
        <v>0.17685</v>
      </c>
      <c r="E49" s="152">
        <f t="shared" si="5"/>
        <v>0.0008284228491857726</v>
      </c>
      <c r="F49" s="122">
        <v>5</v>
      </c>
      <c r="G49" s="98"/>
      <c r="H49" s="5"/>
    </row>
    <row r="50" spans="1:8" ht="20.25" customHeight="1">
      <c r="A50" s="155"/>
      <c r="B50" s="111" t="s">
        <v>59</v>
      </c>
      <c r="C50" s="115">
        <f t="shared" si="6"/>
        <v>0.0005298704600589193</v>
      </c>
      <c r="D50" s="92">
        <v>0.2751</v>
      </c>
      <c r="E50" s="110">
        <f t="shared" si="5"/>
        <v>0.0012886577654000907</v>
      </c>
      <c r="F50" s="123">
        <v>15</v>
      </c>
      <c r="G50" s="98"/>
      <c r="H50" s="5"/>
    </row>
    <row r="51" spans="1:8" ht="15">
      <c r="A51" s="156"/>
      <c r="B51" s="111" t="s">
        <v>60</v>
      </c>
      <c r="C51" s="115">
        <f t="shared" si="6"/>
        <v>0.0023113215269745663</v>
      </c>
      <c r="D51" s="92">
        <v>1.2</v>
      </c>
      <c r="E51" s="110">
        <f t="shared" si="5"/>
        <v>0.005621189816358084</v>
      </c>
      <c r="F51" s="25"/>
      <c r="G51" s="98"/>
      <c r="H51" s="5"/>
    </row>
    <row r="52" spans="1:8" ht="17.25" customHeight="1">
      <c r="A52" s="50"/>
      <c r="B52" s="53" t="s">
        <v>61</v>
      </c>
      <c r="C52" s="94">
        <f t="shared" si="6"/>
        <v>0.0031818229970713625</v>
      </c>
      <c r="D52" s="93">
        <f>SUM(D49:D51)</f>
        <v>1.65195</v>
      </c>
      <c r="E52" s="84">
        <f t="shared" si="5"/>
        <v>0.007738270430943947</v>
      </c>
      <c r="F52" s="24"/>
      <c r="G52" s="99"/>
      <c r="H52" s="27"/>
    </row>
    <row r="53" spans="1:8" ht="15.75" customHeight="1">
      <c r="A53" s="154" t="s">
        <v>5</v>
      </c>
      <c r="B53" s="111" t="s">
        <v>62</v>
      </c>
      <c r="C53" s="115">
        <f t="shared" si="6"/>
        <v>0.0026965417814703275</v>
      </c>
      <c r="D53" s="22">
        <v>1.4</v>
      </c>
      <c r="E53" s="110">
        <f t="shared" si="5"/>
        <v>0.0065580547857510985</v>
      </c>
      <c r="F53" s="21"/>
      <c r="G53" s="98"/>
      <c r="H53" s="11"/>
    </row>
    <row r="54" spans="1:8" ht="15.75" customHeight="1">
      <c r="A54" s="155"/>
      <c r="B54" s="111" t="s">
        <v>84</v>
      </c>
      <c r="C54" s="115">
        <f t="shared" si="6"/>
        <v>0.0315880608686524</v>
      </c>
      <c r="D54" s="22">
        <v>16.4</v>
      </c>
      <c r="E54" s="110">
        <f t="shared" si="5"/>
        <v>0.07682292749022714</v>
      </c>
      <c r="F54" s="21"/>
      <c r="G54" s="98"/>
      <c r="H54" s="11"/>
    </row>
    <row r="55" spans="1:8" ht="15.75" customHeight="1">
      <c r="A55" s="155"/>
      <c r="B55" s="111" t="s">
        <v>85</v>
      </c>
      <c r="C55" s="115">
        <f t="shared" si="6"/>
        <v>0.004237422799453372</v>
      </c>
      <c r="D55" s="22">
        <v>2.2</v>
      </c>
      <c r="E55" s="110">
        <f t="shared" si="5"/>
        <v>0.010305514663323155</v>
      </c>
      <c r="F55" s="21"/>
      <c r="G55" s="98"/>
      <c r="H55" s="11"/>
    </row>
    <row r="56" spans="1:8" ht="17.25" customHeight="1">
      <c r="A56" s="155"/>
      <c r="B56" s="111" t="s">
        <v>63</v>
      </c>
      <c r="C56" s="115">
        <f t="shared" si="6"/>
        <v>0.12673746372910538</v>
      </c>
      <c r="D56" s="22">
        <v>65.8</v>
      </c>
      <c r="E56" s="110">
        <f t="shared" si="5"/>
        <v>0.3082285749303016</v>
      </c>
      <c r="F56" s="21"/>
      <c r="G56" s="98"/>
      <c r="H56" s="11"/>
    </row>
    <row r="57" spans="1:8" ht="15.75" customHeight="1">
      <c r="A57" s="156"/>
      <c r="B57" s="111" t="s">
        <v>64</v>
      </c>
      <c r="C57" s="115">
        <f t="shared" si="6"/>
        <v>0.11691434723946349</v>
      </c>
      <c r="D57" s="22">
        <v>60.7</v>
      </c>
      <c r="E57" s="110">
        <f t="shared" si="5"/>
        <v>0.28433851821077977</v>
      </c>
      <c r="F57" s="21"/>
      <c r="G57" s="98"/>
      <c r="H57" s="11"/>
    </row>
    <row r="58" spans="1:8" ht="15.75" thickBot="1">
      <c r="A58" s="79"/>
      <c r="B58" s="56" t="s">
        <v>65</v>
      </c>
      <c r="C58" s="30">
        <f>SUM(C53:C57)</f>
        <v>0.282173836418145</v>
      </c>
      <c r="D58" s="28">
        <f>SUM(D53:D57)</f>
        <v>146.5</v>
      </c>
      <c r="E58" s="85">
        <f t="shared" si="5"/>
        <v>0.6862535900803828</v>
      </c>
      <c r="F58" s="29"/>
      <c r="G58" s="31"/>
      <c r="H58" s="32"/>
    </row>
    <row r="59" spans="1:7" ht="15.75" customHeight="1">
      <c r="A59" s="33"/>
      <c r="B59" s="56" t="s">
        <v>6</v>
      </c>
      <c r="C59" s="150">
        <f>IF(D59=0,0,D59/Totalt)</f>
        <v>1</v>
      </c>
      <c r="D59" s="28">
        <f>SUM(D18+D26+D34+D38+D42+D44+D48+D52+D58)</f>
        <v>519.1835000000001</v>
      </c>
      <c r="E59" s="86">
        <f>Total_vikt/Antal_hushåll/Hämtningsintervall</f>
        <v>2.43202416918429</v>
      </c>
      <c r="F59" s="29"/>
      <c r="G59" s="31"/>
    </row>
    <row r="60" spans="1:6" ht="15.75" customHeight="1">
      <c r="A60" s="157" t="s">
        <v>21</v>
      </c>
      <c r="B60" s="158"/>
      <c r="D60" s="4"/>
      <c r="E60" s="4"/>
      <c r="F60" s="4"/>
    </row>
    <row r="61" spans="4:6" ht="15.75" customHeight="1">
      <c r="D61" s="4"/>
      <c r="E61" s="4"/>
      <c r="F61" s="4"/>
    </row>
    <row r="62" spans="1:4" ht="25.5" customHeight="1">
      <c r="A62" s="138" t="s">
        <v>23</v>
      </c>
      <c r="B62" s="139" t="s">
        <v>66</v>
      </c>
      <c r="C62" s="140" t="s">
        <v>67</v>
      </c>
      <c r="D62" s="74"/>
    </row>
    <row r="63" spans="1:5" ht="13.5">
      <c r="A63" s="57" t="s">
        <v>22</v>
      </c>
      <c r="B63" s="87">
        <f>C12+C13+C14+C15+C16</f>
        <v>0.3312894188663545</v>
      </c>
      <c r="C63" s="90">
        <f>B63*$C$70</f>
        <v>0.805703873677992</v>
      </c>
      <c r="D63" s="59"/>
      <c r="E63" s="59"/>
    </row>
    <row r="64" spans="1:8" ht="15" customHeight="1">
      <c r="A64" s="60" t="s">
        <v>8</v>
      </c>
      <c r="B64" s="61">
        <f>C17</f>
        <v>0.011749217762120711</v>
      </c>
      <c r="C64" s="90">
        <f aca="true" t="shared" si="7" ref="C64:C69">B64*$C$70</f>
        <v>0.028574381566486926</v>
      </c>
      <c r="D64" s="74"/>
      <c r="E64" s="91"/>
      <c r="F64" s="35"/>
      <c r="H64" s="36"/>
    </row>
    <row r="65" spans="1:8" ht="15.75" customHeight="1">
      <c r="A65" s="60" t="s">
        <v>17</v>
      </c>
      <c r="B65" s="87">
        <f>C19+C20+C21+C22+C23+C27+C28+C29+C30+C31+C35+C36+C39+C40</f>
        <v>0.2186124944263444</v>
      </c>
      <c r="C65" s="90">
        <f t="shared" si="7"/>
        <v>0.5316708701305354</v>
      </c>
      <c r="D65" s="74"/>
      <c r="F65" s="62"/>
      <c r="H65" s="62"/>
    </row>
    <row r="66" spans="1:8" ht="15.75" customHeight="1">
      <c r="A66" s="57" t="s">
        <v>18</v>
      </c>
      <c r="B66" s="87">
        <f>C37+C41+C43</f>
        <v>0.028698908959934197</v>
      </c>
      <c r="C66" s="90">
        <f t="shared" si="7"/>
        <v>0.06979644021977954</v>
      </c>
      <c r="D66" s="74"/>
      <c r="F66" s="62"/>
      <c r="H66" s="62"/>
    </row>
    <row r="67" spans="1:8" ht="17.25" customHeight="1">
      <c r="A67" s="60" t="s">
        <v>3</v>
      </c>
      <c r="B67" s="88">
        <f>C48</f>
        <v>0.0012164292586339897</v>
      </c>
      <c r="C67" s="90">
        <f t="shared" si="7"/>
        <v>0.0029583853571007904</v>
      </c>
      <c r="H67" s="62"/>
    </row>
    <row r="68" spans="1:8" ht="15.75" customHeight="1">
      <c r="A68" s="57" t="s">
        <v>20</v>
      </c>
      <c r="B68" s="89">
        <f>C52</f>
        <v>0.0031818229970713625</v>
      </c>
      <c r="C68" s="90">
        <f t="shared" si="7"/>
        <v>0.007738270430943947</v>
      </c>
      <c r="H68" s="62"/>
    </row>
    <row r="69" spans="1:3" ht="15.75" customHeight="1">
      <c r="A69" s="57" t="s">
        <v>19</v>
      </c>
      <c r="B69" s="87">
        <f>C24+C32+C33+C53+C54+C55+C56+C57</f>
        <v>0.40505909760229275</v>
      </c>
      <c r="C69" s="90">
        <f t="shared" si="7"/>
        <v>0.9851135153167542</v>
      </c>
    </row>
    <row r="70" spans="1:8" ht="15.75" customHeight="1">
      <c r="A70" s="57" t="s">
        <v>32</v>
      </c>
      <c r="B70" s="58">
        <f>SUM(B63:B69)</f>
        <v>0.9998073898727519</v>
      </c>
      <c r="C70" s="90">
        <f>E59</f>
        <v>2.43202416918429</v>
      </c>
      <c r="D70" s="74"/>
      <c r="F70" s="63"/>
      <c r="H70" s="63"/>
    </row>
    <row r="71" spans="2:8" ht="15.75" customHeight="1">
      <c r="B71" s="4"/>
      <c r="C71" s="37"/>
      <c r="F71" s="63"/>
      <c r="H71" s="63"/>
    </row>
    <row r="72" spans="2:8" ht="15.75" customHeight="1">
      <c r="B72" s="4"/>
      <c r="C72" s="37"/>
      <c r="F72" s="63"/>
      <c r="H72" s="63"/>
    </row>
    <row r="73" spans="1:5" ht="13.5">
      <c r="A73" s="38"/>
      <c r="B73" s="38"/>
      <c r="C73" s="14"/>
      <c r="D73" s="39"/>
      <c r="E73" s="39"/>
    </row>
    <row r="74" spans="1:8" ht="44.25" customHeight="1">
      <c r="A74" s="64"/>
      <c r="B74" s="65"/>
      <c r="C74" s="68"/>
      <c r="D74" s="66"/>
      <c r="E74" s="66"/>
      <c r="F74" s="67"/>
      <c r="H74" s="67"/>
    </row>
    <row r="75" spans="1:8" ht="60" customHeight="1">
      <c r="A75" s="69"/>
      <c r="B75" s="70"/>
      <c r="C75" s="71"/>
      <c r="D75" s="70"/>
      <c r="E75" s="70"/>
      <c r="F75" s="67"/>
      <c r="H75" s="67"/>
    </row>
    <row r="76" spans="1:8" ht="60" customHeight="1">
      <c r="A76" s="69"/>
      <c r="B76" s="70"/>
      <c r="C76" s="71"/>
      <c r="D76" s="70"/>
      <c r="E76" s="70"/>
      <c r="F76" s="67"/>
      <c r="H76" s="67"/>
    </row>
    <row r="77" spans="1:8" ht="60" customHeight="1">
      <c r="A77" s="69"/>
      <c r="B77" s="70"/>
      <c r="C77" s="71"/>
      <c r="D77" s="70"/>
      <c r="E77" s="70"/>
      <c r="F77" s="67"/>
      <c r="H77" s="67"/>
    </row>
    <row r="78" spans="1:8" ht="78.75" customHeight="1">
      <c r="A78" s="69"/>
      <c r="B78" s="70"/>
      <c r="C78" s="71"/>
      <c r="D78" s="70"/>
      <c r="E78" s="70"/>
      <c r="F78" s="67"/>
      <c r="H78" s="67"/>
    </row>
    <row r="79" spans="1:8" ht="50.25" customHeight="1">
      <c r="A79" s="69"/>
      <c r="B79" s="70"/>
      <c r="C79" s="71"/>
      <c r="D79" s="70"/>
      <c r="E79" s="70"/>
      <c r="F79" s="67"/>
      <c r="H79" s="67"/>
    </row>
    <row r="80" spans="1:8" ht="31.5" customHeight="1">
      <c r="A80" s="64"/>
      <c r="B80" s="72"/>
      <c r="C80" s="71"/>
      <c r="D80" s="72"/>
      <c r="E80" s="72"/>
      <c r="F80" s="72"/>
      <c r="H80" s="72"/>
    </row>
    <row r="81" spans="1:5" ht="13.5">
      <c r="A81" s="5"/>
      <c r="B81" s="143"/>
      <c r="C81" s="144"/>
      <c r="D81" s="144"/>
      <c r="E81" s="145"/>
    </row>
    <row r="82" spans="1:5" ht="13.5">
      <c r="A82" s="5"/>
      <c r="B82" s="104"/>
      <c r="C82" s="146"/>
      <c r="D82" s="147"/>
      <c r="E82" s="148"/>
    </row>
    <row r="83" spans="1:5" ht="13.5">
      <c r="A83" s="5"/>
      <c r="B83" s="104"/>
      <c r="C83" s="146"/>
      <c r="D83" s="147"/>
      <c r="E83" s="148"/>
    </row>
    <row r="84" spans="1:5" ht="13.5">
      <c r="A84" s="5"/>
      <c r="B84" s="39"/>
      <c r="D84" s="39"/>
      <c r="E84" s="39"/>
    </row>
    <row r="85" spans="1:5" ht="13.5">
      <c r="A85" s="5"/>
      <c r="B85" s="39"/>
      <c r="D85" s="39"/>
      <c r="E85" s="39"/>
    </row>
    <row r="86" spans="1:5" ht="13.5">
      <c r="A86" s="5"/>
      <c r="B86" s="39"/>
      <c r="D86" s="39"/>
      <c r="E86" s="39"/>
    </row>
    <row r="87" spans="1:5" ht="13.5">
      <c r="A87" s="5"/>
      <c r="B87" s="39"/>
      <c r="D87" s="39"/>
      <c r="E87" s="39"/>
    </row>
    <row r="88" spans="1:5" ht="13.5">
      <c r="A88" s="5"/>
      <c r="B88" s="39"/>
      <c r="D88" s="39"/>
      <c r="E88" s="39"/>
    </row>
    <row r="89" spans="1:5" ht="13.5">
      <c r="A89" s="5"/>
      <c r="B89" s="39"/>
      <c r="D89" s="39"/>
      <c r="E89" s="39"/>
    </row>
    <row r="90" spans="1:5" ht="13.5">
      <c r="A90" s="5"/>
      <c r="B90" s="39"/>
      <c r="D90" s="39"/>
      <c r="E90" s="39"/>
    </row>
    <row r="91" spans="1:5" ht="13.5">
      <c r="A91" s="5"/>
      <c r="B91" s="39"/>
      <c r="D91" s="39"/>
      <c r="E91" s="39"/>
    </row>
    <row r="92" spans="1:5" ht="13.5">
      <c r="A92" s="5"/>
      <c r="B92" s="39"/>
      <c r="D92" s="39"/>
      <c r="E92" s="39"/>
    </row>
    <row r="93" spans="1:5" ht="13.5">
      <c r="A93" s="5"/>
      <c r="B93" s="39"/>
      <c r="D93" s="39"/>
      <c r="E93" s="39"/>
    </row>
    <row r="94" spans="1:5" ht="13.5">
      <c r="A94" s="5"/>
      <c r="B94" s="39"/>
      <c r="D94" s="39"/>
      <c r="E94" s="39"/>
    </row>
    <row r="95" spans="1:5" ht="13.5">
      <c r="A95" s="5"/>
      <c r="B95" s="39"/>
      <c r="D95" s="39"/>
      <c r="E95" s="39"/>
    </row>
    <row r="96" spans="1:5" ht="13.5">
      <c r="A96" s="5"/>
      <c r="B96" s="39"/>
      <c r="D96" s="39"/>
      <c r="E96" s="39"/>
    </row>
    <row r="97" spans="1:5" ht="13.5">
      <c r="A97" s="5"/>
      <c r="B97" s="39"/>
      <c r="D97" s="39"/>
      <c r="E97" s="39"/>
    </row>
    <row r="98" spans="1:5" ht="13.5">
      <c r="A98" s="5"/>
      <c r="B98" s="39"/>
      <c r="D98" s="39"/>
      <c r="E98" s="39"/>
    </row>
    <row r="99" spans="1:5" ht="13.5">
      <c r="A99" s="5"/>
      <c r="B99" s="39"/>
      <c r="D99" s="39"/>
      <c r="E99" s="39"/>
    </row>
    <row r="100" spans="1:5" ht="13.5">
      <c r="A100" s="5"/>
      <c r="B100" s="39"/>
      <c r="D100" s="39"/>
      <c r="E100" s="39"/>
    </row>
    <row r="101" spans="1:5" ht="13.5">
      <c r="A101" s="5"/>
      <c r="B101" s="39"/>
      <c r="D101" s="39"/>
      <c r="E101" s="39"/>
    </row>
    <row r="102" spans="1:5" ht="13.5">
      <c r="A102" s="5"/>
      <c r="B102" s="39"/>
      <c r="D102" s="39"/>
      <c r="E102" s="39"/>
    </row>
    <row r="103" spans="1:5" ht="13.5">
      <c r="A103" s="5"/>
      <c r="B103" s="39"/>
      <c r="D103" s="39"/>
      <c r="E103" s="39"/>
    </row>
    <row r="104" spans="1:5" ht="13.5">
      <c r="A104" s="5"/>
      <c r="B104" s="39"/>
      <c r="D104" s="39"/>
      <c r="E104" s="39"/>
    </row>
    <row r="105" spans="1:5" ht="13.5">
      <c r="A105" s="5"/>
      <c r="B105" s="39"/>
      <c r="D105" s="39"/>
      <c r="E105" s="39"/>
    </row>
    <row r="106" spans="1:5" ht="13.5">
      <c r="A106" s="5"/>
      <c r="B106" s="39"/>
      <c r="D106" s="39"/>
      <c r="E106" s="39"/>
    </row>
    <row r="107" spans="1:5" ht="13.5">
      <c r="A107" s="5"/>
      <c r="B107" s="39"/>
      <c r="D107" s="39"/>
      <c r="E107" s="39"/>
    </row>
    <row r="108" spans="1:5" ht="13.5">
      <c r="A108" s="5"/>
      <c r="B108" s="39"/>
      <c r="D108" s="39"/>
      <c r="E108" s="39"/>
    </row>
    <row r="109" spans="1:5" ht="13.5">
      <c r="A109" s="5"/>
      <c r="B109" s="39"/>
      <c r="D109" s="39"/>
      <c r="E109" s="39"/>
    </row>
    <row r="110" spans="1:5" ht="13.5">
      <c r="A110" s="5"/>
      <c r="B110" s="39"/>
      <c r="D110" s="39"/>
      <c r="E110" s="39"/>
    </row>
    <row r="111" spans="1:5" ht="13.5">
      <c r="A111" s="5"/>
      <c r="B111" s="39"/>
      <c r="D111" s="39"/>
      <c r="E111" s="39"/>
    </row>
    <row r="112" spans="1:5" ht="13.5">
      <c r="A112" s="5"/>
      <c r="B112" s="39"/>
      <c r="D112" s="39"/>
      <c r="E112" s="39"/>
    </row>
    <row r="113" spans="1:5" ht="13.5">
      <c r="A113" s="5"/>
      <c r="B113" s="39"/>
      <c r="D113" s="39"/>
      <c r="E113" s="39"/>
    </row>
    <row r="114" spans="4:5" ht="13.5">
      <c r="D114" s="39"/>
      <c r="E114" s="39"/>
    </row>
    <row r="115" spans="4:5" ht="13.5">
      <c r="D115" s="39"/>
      <c r="E115" s="39"/>
    </row>
    <row r="116" spans="4:5" ht="13.5">
      <c r="D116" s="39"/>
      <c r="E116" s="39"/>
    </row>
    <row r="117" spans="4:5" ht="13.5">
      <c r="D117" s="39"/>
      <c r="E117" s="39"/>
    </row>
    <row r="118" spans="4:5" ht="13.5">
      <c r="D118" s="39"/>
      <c r="E118" s="39"/>
    </row>
    <row r="119" spans="4:5" ht="13.5">
      <c r="D119" s="39"/>
      <c r="E119" s="39"/>
    </row>
    <row r="120" spans="4:5" ht="13.5">
      <c r="D120" s="39"/>
      <c r="E120" s="39"/>
    </row>
    <row r="121" spans="4:5" ht="13.5">
      <c r="D121" s="39"/>
      <c r="E121" s="39"/>
    </row>
    <row r="122" spans="4:5" ht="13.5">
      <c r="D122" s="39"/>
      <c r="E122" s="39"/>
    </row>
    <row r="123" spans="4:5" ht="13.5">
      <c r="D123" s="39"/>
      <c r="E123" s="39"/>
    </row>
    <row r="124" spans="4:5" ht="13.5">
      <c r="D124" s="39"/>
      <c r="E124" s="39"/>
    </row>
    <row r="125" spans="4:5" ht="13.5">
      <c r="D125" s="39"/>
      <c r="E125" s="39"/>
    </row>
    <row r="126" spans="4:5" ht="13.5">
      <c r="D126" s="39"/>
      <c r="E126" s="39"/>
    </row>
    <row r="127" spans="4:5" ht="13.5">
      <c r="D127" s="39"/>
      <c r="E127" s="39"/>
    </row>
    <row r="128" spans="4:5" ht="13.5">
      <c r="D128" s="39"/>
      <c r="E128" s="39"/>
    </row>
    <row r="129" spans="4:5" ht="13.5">
      <c r="D129" s="39"/>
      <c r="E129" s="39"/>
    </row>
    <row r="130" spans="4:5" ht="13.5">
      <c r="D130" s="39"/>
      <c r="E130" s="39"/>
    </row>
    <row r="131" spans="4:5" ht="13.5">
      <c r="D131" s="39"/>
      <c r="E131" s="39"/>
    </row>
    <row r="132" spans="4:5" ht="13.5">
      <c r="D132" s="39"/>
      <c r="E132" s="39"/>
    </row>
    <row r="133" spans="4:5" ht="13.5">
      <c r="D133" s="39"/>
      <c r="E133" s="39"/>
    </row>
    <row r="134" spans="4:5" ht="13.5">
      <c r="D134" s="39"/>
      <c r="E134" s="39"/>
    </row>
    <row r="135" spans="4:5" ht="13.5">
      <c r="D135" s="39"/>
      <c r="E135" s="39"/>
    </row>
    <row r="136" spans="4:5" ht="13.5">
      <c r="D136" s="39"/>
      <c r="E136" s="39"/>
    </row>
    <row r="137" spans="4:5" ht="13.5">
      <c r="D137" s="39"/>
      <c r="E137" s="39"/>
    </row>
    <row r="138" spans="4:5" ht="13.5">
      <c r="D138" s="39"/>
      <c r="E138" s="39"/>
    </row>
    <row r="139" spans="4:5" ht="13.5">
      <c r="D139" s="39"/>
      <c r="E139" s="39"/>
    </row>
    <row r="140" spans="4:5" ht="13.5">
      <c r="D140" s="39"/>
      <c r="E140" s="39"/>
    </row>
    <row r="141" spans="4:5" ht="13.5">
      <c r="D141" s="39"/>
      <c r="E141" s="39"/>
    </row>
    <row r="142" spans="4:5" ht="13.5">
      <c r="D142" s="39"/>
      <c r="E142" s="39"/>
    </row>
    <row r="143" spans="4:5" ht="13.5">
      <c r="D143" s="39"/>
      <c r="E143" s="39"/>
    </row>
    <row r="144" spans="4:5" ht="13.5">
      <c r="D144" s="39"/>
      <c r="E144" s="39"/>
    </row>
    <row r="145" spans="4:5" ht="13.5">
      <c r="D145" s="39"/>
      <c r="E145" s="39"/>
    </row>
    <row r="146" spans="4:5" ht="13.5">
      <c r="D146" s="39"/>
      <c r="E146" s="39"/>
    </row>
    <row r="147" spans="4:5" ht="13.5">
      <c r="D147" s="39"/>
      <c r="E147" s="39"/>
    </row>
    <row r="148" spans="4:5" ht="13.5">
      <c r="D148" s="39"/>
      <c r="E148" s="39"/>
    </row>
    <row r="149" spans="4:5" ht="13.5">
      <c r="D149" s="39"/>
      <c r="E149" s="39"/>
    </row>
    <row r="150" spans="4:5" ht="13.5">
      <c r="D150" s="39"/>
      <c r="E150" s="39"/>
    </row>
    <row r="151" spans="4:5" ht="13.5">
      <c r="D151" s="39"/>
      <c r="E151" s="39"/>
    </row>
    <row r="152" spans="4:5" ht="13.5">
      <c r="D152" s="39"/>
      <c r="E152" s="39"/>
    </row>
    <row r="153" spans="4:5" ht="13.5">
      <c r="D153" s="39"/>
      <c r="E153" s="39"/>
    </row>
    <row r="154" spans="4:5" ht="13.5">
      <c r="D154" s="39"/>
      <c r="E154" s="39"/>
    </row>
    <row r="155" spans="4:5" ht="13.5">
      <c r="D155" s="39"/>
      <c r="E155" s="39"/>
    </row>
    <row r="156" spans="4:5" ht="13.5">
      <c r="D156" s="39"/>
      <c r="E156" s="39"/>
    </row>
    <row r="157" spans="4:5" ht="13.5">
      <c r="D157" s="39"/>
      <c r="E157" s="39"/>
    </row>
    <row r="158" spans="4:5" ht="13.5">
      <c r="D158" s="39"/>
      <c r="E158" s="39"/>
    </row>
    <row r="159" spans="4:5" ht="13.5">
      <c r="D159" s="39"/>
      <c r="E159" s="39"/>
    </row>
    <row r="160" spans="4:5" ht="13.5">
      <c r="D160" s="39"/>
      <c r="E160" s="39"/>
    </row>
    <row r="161" spans="4:5" ht="13.5">
      <c r="D161" s="39"/>
      <c r="E161" s="39"/>
    </row>
    <row r="162" spans="4:5" ht="13.5">
      <c r="D162" s="39"/>
      <c r="E162" s="39"/>
    </row>
    <row r="163" spans="4:5" ht="13.5">
      <c r="D163" s="39"/>
      <c r="E163" s="39"/>
    </row>
    <row r="164" spans="4:5" ht="13.5">
      <c r="D164" s="39"/>
      <c r="E164" s="39"/>
    </row>
    <row r="165" spans="4:5" ht="13.5">
      <c r="D165" s="39"/>
      <c r="E165" s="39"/>
    </row>
    <row r="166" spans="4:5" ht="13.5">
      <c r="D166" s="39"/>
      <c r="E166" s="39"/>
    </row>
    <row r="167" spans="4:5" ht="13.5">
      <c r="D167" s="39"/>
      <c r="E167" s="39"/>
    </row>
    <row r="168" spans="4:5" ht="13.5">
      <c r="D168" s="39"/>
      <c r="E168" s="39"/>
    </row>
    <row r="169" spans="4:5" ht="13.5">
      <c r="D169" s="39"/>
      <c r="E169" s="39"/>
    </row>
    <row r="170" spans="4:5" ht="13.5">
      <c r="D170" s="39"/>
      <c r="E170" s="39"/>
    </row>
    <row r="171" spans="4:5" ht="13.5">
      <c r="D171" s="39"/>
      <c r="E171" s="39"/>
    </row>
    <row r="172" spans="4:5" ht="13.5">
      <c r="D172" s="39"/>
      <c r="E172" s="39"/>
    </row>
    <row r="173" spans="4:5" ht="13.5">
      <c r="D173" s="39"/>
      <c r="E173" s="39"/>
    </row>
    <row r="174" spans="4:5" ht="13.5">
      <c r="D174" s="39"/>
      <c r="E174" s="39"/>
    </row>
    <row r="175" spans="4:5" ht="13.5">
      <c r="D175" s="39"/>
      <c r="E175" s="39"/>
    </row>
    <row r="176" spans="4:5" ht="13.5">
      <c r="D176" s="39"/>
      <c r="E176" s="39"/>
    </row>
    <row r="177" spans="4:5" ht="13.5">
      <c r="D177" s="39"/>
      <c r="E177" s="39"/>
    </row>
    <row r="178" spans="4:5" ht="13.5">
      <c r="D178" s="39"/>
      <c r="E178" s="39"/>
    </row>
    <row r="179" spans="4:5" ht="13.5">
      <c r="D179" s="39"/>
      <c r="E179" s="39"/>
    </row>
    <row r="180" spans="4:5" ht="13.5">
      <c r="D180" s="39"/>
      <c r="E180" s="39"/>
    </row>
    <row r="181" spans="4:5" ht="13.5">
      <c r="D181" s="39"/>
      <c r="E181" s="39"/>
    </row>
    <row r="182" spans="4:5" ht="13.5">
      <c r="D182" s="39"/>
      <c r="E182" s="39"/>
    </row>
    <row r="183" spans="4:5" ht="13.5">
      <c r="D183" s="39"/>
      <c r="E183" s="39"/>
    </row>
    <row r="184" spans="4:5" ht="13.5">
      <c r="D184" s="39"/>
      <c r="E184" s="39"/>
    </row>
    <row r="185" spans="4:5" ht="13.5">
      <c r="D185" s="39"/>
      <c r="E185" s="39"/>
    </row>
    <row r="186" spans="4:5" ht="13.5">
      <c r="D186" s="39"/>
      <c r="E186" s="39"/>
    </row>
    <row r="187" spans="4:5" ht="13.5">
      <c r="D187" s="39"/>
      <c r="E187" s="39"/>
    </row>
    <row r="188" spans="4:5" ht="13.5">
      <c r="D188" s="39"/>
      <c r="E188" s="39"/>
    </row>
    <row r="189" spans="4:5" ht="13.5">
      <c r="D189" s="39"/>
      <c r="E189" s="39"/>
    </row>
    <row r="190" spans="4:5" ht="13.5">
      <c r="D190" s="39"/>
      <c r="E190" s="39"/>
    </row>
    <row r="191" spans="4:5" ht="13.5">
      <c r="D191" s="39"/>
      <c r="E191" s="39"/>
    </row>
    <row r="192" spans="4:5" ht="13.5">
      <c r="D192" s="39"/>
      <c r="E192" s="39"/>
    </row>
    <row r="193" spans="4:5" ht="13.5">
      <c r="D193" s="39"/>
      <c r="E193" s="39"/>
    </row>
    <row r="194" spans="4:5" ht="13.5">
      <c r="D194" s="39"/>
      <c r="E194" s="39"/>
    </row>
    <row r="195" spans="4:5" ht="13.5">
      <c r="D195" s="39"/>
      <c r="E195" s="39"/>
    </row>
    <row r="196" spans="4:5" ht="13.5">
      <c r="D196" s="39"/>
      <c r="E196" s="39"/>
    </row>
    <row r="197" spans="4:5" ht="13.5">
      <c r="D197" s="39"/>
      <c r="E197" s="39"/>
    </row>
    <row r="198" spans="4:5" ht="13.5">
      <c r="D198" s="39"/>
      <c r="E198" s="39"/>
    </row>
    <row r="199" spans="4:5" ht="13.5">
      <c r="D199" s="39"/>
      <c r="E199" s="39"/>
    </row>
    <row r="200" spans="4:5" ht="13.5">
      <c r="D200" s="39"/>
      <c r="E200" s="39"/>
    </row>
    <row r="201" spans="4:5" ht="13.5">
      <c r="D201" s="39"/>
      <c r="E201" s="39"/>
    </row>
    <row r="202" spans="4:5" ht="13.5">
      <c r="D202" s="39"/>
      <c r="E202" s="39"/>
    </row>
    <row r="203" spans="4:5" ht="13.5">
      <c r="D203" s="39"/>
      <c r="E203" s="39"/>
    </row>
    <row r="204" spans="4:5" ht="13.5">
      <c r="D204" s="39"/>
      <c r="E204" s="39"/>
    </row>
    <row r="205" spans="4:5" ht="13.5">
      <c r="D205" s="39"/>
      <c r="E205" s="39"/>
    </row>
    <row r="206" spans="4:5" ht="13.5">
      <c r="D206" s="39"/>
      <c r="E206" s="39"/>
    </row>
    <row r="207" spans="4:5" ht="13.5">
      <c r="D207" s="39"/>
      <c r="E207" s="39"/>
    </row>
    <row r="208" spans="4:5" ht="13.5">
      <c r="D208" s="39"/>
      <c r="E208" s="39"/>
    </row>
    <row r="209" spans="4:5" ht="13.5">
      <c r="D209" s="39"/>
      <c r="E209" s="39"/>
    </row>
    <row r="210" spans="4:5" ht="13.5">
      <c r="D210" s="39"/>
      <c r="E210" s="39"/>
    </row>
    <row r="211" spans="4:5" ht="13.5">
      <c r="D211" s="39"/>
      <c r="E211" s="39"/>
    </row>
    <row r="212" spans="4:5" ht="13.5">
      <c r="D212" s="39"/>
      <c r="E212" s="39"/>
    </row>
    <row r="213" spans="4:5" ht="13.5">
      <c r="D213" s="39"/>
      <c r="E213" s="39"/>
    </row>
    <row r="214" spans="4:5" ht="13.5">
      <c r="D214" s="39"/>
      <c r="E214" s="39"/>
    </row>
    <row r="215" spans="4:5" ht="13.5">
      <c r="D215" s="39"/>
      <c r="E215" s="39"/>
    </row>
    <row r="216" spans="4:5" ht="13.5">
      <c r="D216" s="39"/>
      <c r="E216" s="39"/>
    </row>
    <row r="217" spans="4:5" ht="13.5">
      <c r="D217" s="39"/>
      <c r="E217" s="39"/>
    </row>
    <row r="218" spans="4:5" ht="13.5">
      <c r="D218" s="39"/>
      <c r="E218" s="39"/>
    </row>
    <row r="219" spans="4:5" ht="13.5">
      <c r="D219" s="39"/>
      <c r="E219" s="39"/>
    </row>
    <row r="220" spans="4:5" ht="13.5">
      <c r="D220" s="39"/>
      <c r="E220" s="39"/>
    </row>
    <row r="221" spans="4:5" ht="13.5">
      <c r="D221" s="39"/>
      <c r="E221" s="39"/>
    </row>
    <row r="222" spans="4:5" ht="13.5">
      <c r="D222" s="39"/>
      <c r="E222" s="39"/>
    </row>
    <row r="223" spans="4:5" ht="13.5">
      <c r="D223" s="39"/>
      <c r="E223" s="39"/>
    </row>
    <row r="224" spans="4:5" ht="13.5">
      <c r="D224" s="39"/>
      <c r="E224" s="39"/>
    </row>
    <row r="225" spans="4:5" ht="13.5">
      <c r="D225" s="39"/>
      <c r="E225" s="39"/>
    </row>
    <row r="226" spans="4:5" ht="13.5">
      <c r="D226" s="39"/>
      <c r="E226" s="39"/>
    </row>
    <row r="227" spans="4:5" ht="13.5">
      <c r="D227" s="39"/>
      <c r="E227" s="39"/>
    </row>
    <row r="228" spans="4:5" ht="13.5">
      <c r="D228" s="39"/>
      <c r="E228" s="39"/>
    </row>
    <row r="229" spans="4:5" ht="13.5">
      <c r="D229" s="39"/>
      <c r="E229" s="39"/>
    </row>
    <row r="230" spans="4:5" ht="13.5">
      <c r="D230" s="39"/>
      <c r="E230" s="39"/>
    </row>
    <row r="231" spans="4:5" ht="13.5">
      <c r="D231" s="39"/>
      <c r="E231" s="39"/>
    </row>
    <row r="232" spans="4:5" ht="13.5">
      <c r="D232" s="39"/>
      <c r="E232" s="39"/>
    </row>
    <row r="233" spans="4:5" ht="13.5">
      <c r="D233" s="39"/>
      <c r="E233" s="39"/>
    </row>
    <row r="234" spans="4:5" ht="13.5">
      <c r="D234" s="39"/>
      <c r="E234" s="39"/>
    </row>
    <row r="235" spans="4:5" ht="13.5">
      <c r="D235" s="39"/>
      <c r="E235" s="39"/>
    </row>
    <row r="236" spans="4:5" ht="13.5">
      <c r="D236" s="39"/>
      <c r="E236" s="39"/>
    </row>
    <row r="237" spans="4:5" ht="13.5">
      <c r="D237" s="39"/>
      <c r="E237" s="39"/>
    </row>
    <row r="238" spans="4:5" ht="13.5">
      <c r="D238" s="39"/>
      <c r="E238" s="39"/>
    </row>
    <row r="239" spans="4:5" ht="13.5">
      <c r="D239" s="39"/>
      <c r="E239" s="39"/>
    </row>
    <row r="240" spans="4:5" ht="13.5">
      <c r="D240" s="39"/>
      <c r="E240" s="39"/>
    </row>
    <row r="241" spans="4:5" ht="13.5">
      <c r="D241" s="39"/>
      <c r="E241" s="39"/>
    </row>
    <row r="242" spans="4:5" ht="13.5">
      <c r="D242" s="39"/>
      <c r="E242" s="39"/>
    </row>
    <row r="243" spans="4:5" ht="13.5">
      <c r="D243" s="39"/>
      <c r="E243" s="39"/>
    </row>
    <row r="244" spans="4:5" ht="13.5">
      <c r="D244" s="39"/>
      <c r="E244" s="39"/>
    </row>
    <row r="245" spans="4:5" ht="13.5">
      <c r="D245" s="39"/>
      <c r="E245" s="39"/>
    </row>
    <row r="246" spans="4:5" ht="13.5">
      <c r="D246" s="39"/>
      <c r="E246" s="39"/>
    </row>
    <row r="247" spans="4:5" ht="13.5">
      <c r="D247" s="39"/>
      <c r="E247" s="39"/>
    </row>
    <row r="248" spans="4:5" ht="13.5">
      <c r="D248" s="39"/>
      <c r="E248" s="39"/>
    </row>
    <row r="249" spans="4:5" ht="13.5">
      <c r="D249" s="39"/>
      <c r="E249" s="39"/>
    </row>
    <row r="250" spans="4:5" ht="13.5">
      <c r="D250" s="39"/>
      <c r="E250" s="39"/>
    </row>
    <row r="251" spans="4:5" ht="13.5">
      <c r="D251" s="39"/>
      <c r="E251" s="39"/>
    </row>
    <row r="252" spans="4:5" ht="13.5">
      <c r="D252" s="39"/>
      <c r="E252" s="39"/>
    </row>
    <row r="253" spans="4:5" ht="13.5">
      <c r="D253" s="39"/>
      <c r="E253" s="39"/>
    </row>
    <row r="254" spans="4:5" ht="13.5">
      <c r="D254" s="39"/>
      <c r="E254" s="39"/>
    </row>
    <row r="255" spans="4:5" ht="13.5">
      <c r="D255" s="39"/>
      <c r="E255" s="39"/>
    </row>
    <row r="256" spans="4:5" ht="13.5">
      <c r="D256" s="39"/>
      <c r="E256" s="39"/>
    </row>
    <row r="257" spans="4:5" ht="13.5">
      <c r="D257" s="39"/>
      <c r="E257" s="39"/>
    </row>
    <row r="258" spans="4:5" ht="13.5">
      <c r="D258" s="39"/>
      <c r="E258" s="39"/>
    </row>
    <row r="259" spans="4:5" ht="13.5">
      <c r="D259" s="39"/>
      <c r="E259" s="39"/>
    </row>
    <row r="260" spans="4:5" ht="13.5">
      <c r="D260" s="39"/>
      <c r="E260" s="39"/>
    </row>
    <row r="261" spans="4:5" ht="13.5">
      <c r="D261" s="39"/>
      <c r="E261" s="39"/>
    </row>
    <row r="262" spans="4:5" ht="13.5">
      <c r="D262" s="39"/>
      <c r="E262" s="39"/>
    </row>
    <row r="263" spans="4:5" ht="13.5">
      <c r="D263" s="39"/>
      <c r="E263" s="39"/>
    </row>
    <row r="264" spans="4:5" ht="13.5">
      <c r="D264" s="39"/>
      <c r="E264" s="39"/>
    </row>
    <row r="265" spans="4:5" ht="13.5">
      <c r="D265" s="39"/>
      <c r="E265" s="39"/>
    </row>
    <row r="266" spans="4:5" ht="13.5">
      <c r="D266" s="39"/>
      <c r="E266" s="39"/>
    </row>
    <row r="267" spans="4:5" ht="13.5">
      <c r="D267" s="39"/>
      <c r="E267" s="39"/>
    </row>
    <row r="268" spans="4:5" ht="13.5">
      <c r="D268" s="39"/>
      <c r="E268" s="39"/>
    </row>
    <row r="269" spans="4:5" ht="13.5">
      <c r="D269" s="39"/>
      <c r="E269" s="39"/>
    </row>
    <row r="270" spans="4:5" ht="13.5">
      <c r="D270" s="39"/>
      <c r="E270" s="39"/>
    </row>
    <row r="271" spans="4:5" ht="13.5">
      <c r="D271" s="39"/>
      <c r="E271" s="39"/>
    </row>
    <row r="272" spans="4:5" ht="13.5">
      <c r="D272" s="39"/>
      <c r="E272" s="39"/>
    </row>
    <row r="273" spans="4:5" ht="13.5">
      <c r="D273" s="39"/>
      <c r="E273" s="39"/>
    </row>
    <row r="274" spans="4:5" ht="13.5">
      <c r="D274" s="39"/>
      <c r="E274" s="39"/>
    </row>
    <row r="275" spans="4:5" ht="13.5">
      <c r="D275" s="39"/>
      <c r="E275" s="39"/>
    </row>
    <row r="276" spans="4:5" ht="13.5">
      <c r="D276" s="39"/>
      <c r="E276" s="39"/>
    </row>
    <row r="277" spans="4:5" ht="13.5">
      <c r="D277" s="39"/>
      <c r="E277" s="39"/>
    </row>
    <row r="278" spans="4:5" ht="13.5">
      <c r="D278" s="39"/>
      <c r="E278" s="39"/>
    </row>
    <row r="279" spans="4:5" ht="13.5">
      <c r="D279" s="39"/>
      <c r="E279" s="39"/>
    </row>
    <row r="280" spans="4:5" ht="13.5">
      <c r="D280" s="39"/>
      <c r="E280" s="39"/>
    </row>
    <row r="281" spans="4:5" ht="13.5">
      <c r="D281" s="39"/>
      <c r="E281" s="39"/>
    </row>
    <row r="282" spans="4:5" ht="13.5">
      <c r="D282" s="39"/>
      <c r="E282" s="39"/>
    </row>
    <row r="283" spans="4:5" ht="13.5">
      <c r="D283" s="39"/>
      <c r="E283" s="39"/>
    </row>
    <row r="284" spans="4:5" ht="13.5">
      <c r="D284" s="39"/>
      <c r="E284" s="39"/>
    </row>
    <row r="285" spans="4:5" ht="13.5">
      <c r="D285" s="39"/>
      <c r="E285" s="39"/>
    </row>
    <row r="286" spans="4:5" ht="13.5">
      <c r="D286" s="39"/>
      <c r="E286" s="39"/>
    </row>
    <row r="287" spans="4:5" ht="13.5">
      <c r="D287" s="39"/>
      <c r="E287" s="39"/>
    </row>
    <row r="288" spans="4:5" ht="13.5">
      <c r="D288" s="39"/>
      <c r="E288" s="39"/>
    </row>
    <row r="289" spans="4:5" ht="13.5">
      <c r="D289" s="39"/>
      <c r="E289" s="39"/>
    </row>
    <row r="290" spans="4:5" ht="13.5">
      <c r="D290" s="39"/>
      <c r="E290" s="39"/>
    </row>
    <row r="291" spans="4:5" ht="13.5">
      <c r="D291" s="39"/>
      <c r="E291" s="39"/>
    </row>
    <row r="292" spans="4:5" ht="13.5">
      <c r="D292" s="39"/>
      <c r="E292" s="39"/>
    </row>
    <row r="293" spans="4:5" ht="13.5">
      <c r="D293" s="39"/>
      <c r="E293" s="39"/>
    </row>
    <row r="294" spans="4:5" ht="13.5">
      <c r="D294" s="39"/>
      <c r="E294" s="39"/>
    </row>
    <row r="295" spans="4:5" ht="13.5">
      <c r="D295" s="39"/>
      <c r="E295" s="39"/>
    </row>
    <row r="296" spans="4:5" ht="13.5">
      <c r="D296" s="39"/>
      <c r="E296" s="39"/>
    </row>
    <row r="297" spans="4:5" ht="13.5">
      <c r="D297" s="39"/>
      <c r="E297" s="39"/>
    </row>
    <row r="298" spans="4:5" ht="13.5">
      <c r="D298" s="39"/>
      <c r="E298" s="39"/>
    </row>
    <row r="299" spans="4:5" ht="13.5">
      <c r="D299" s="39"/>
      <c r="E299" s="39"/>
    </row>
    <row r="300" spans="4:5" ht="13.5">
      <c r="D300" s="39"/>
      <c r="E300" s="39"/>
    </row>
    <row r="301" spans="4:5" ht="13.5">
      <c r="D301" s="39"/>
      <c r="E301" s="39"/>
    </row>
    <row r="302" spans="4:5" ht="13.5">
      <c r="D302" s="39"/>
      <c r="E302" s="39"/>
    </row>
    <row r="303" spans="4:5" ht="13.5">
      <c r="D303" s="39"/>
      <c r="E303" s="39"/>
    </row>
    <row r="304" spans="4:5" ht="13.5">
      <c r="D304" s="39"/>
      <c r="E304" s="39"/>
    </row>
    <row r="305" spans="4:5" ht="13.5">
      <c r="D305" s="39"/>
      <c r="E305" s="39"/>
    </row>
    <row r="306" spans="4:5" ht="13.5">
      <c r="D306" s="39"/>
      <c r="E306" s="39"/>
    </row>
    <row r="307" spans="4:5" ht="13.5">
      <c r="D307" s="39"/>
      <c r="E307" s="39"/>
    </row>
    <row r="308" spans="4:5" ht="13.5">
      <c r="D308" s="39"/>
      <c r="E308" s="39"/>
    </row>
    <row r="309" spans="4:5" ht="13.5">
      <c r="D309" s="39"/>
      <c r="E309" s="39"/>
    </row>
    <row r="310" spans="4:5" ht="13.5">
      <c r="D310" s="39"/>
      <c r="E310" s="39"/>
    </row>
    <row r="311" spans="4:5" ht="13.5">
      <c r="D311" s="39"/>
      <c r="E311" s="39"/>
    </row>
    <row r="312" spans="4:5" ht="13.5">
      <c r="D312" s="39"/>
      <c r="E312" s="39"/>
    </row>
    <row r="313" spans="4:5" ht="13.5">
      <c r="D313" s="39"/>
      <c r="E313" s="39"/>
    </row>
    <row r="314" spans="4:5" ht="13.5">
      <c r="D314" s="39"/>
      <c r="E314" s="39"/>
    </row>
    <row r="315" spans="4:5" ht="13.5">
      <c r="D315" s="39"/>
      <c r="E315" s="39"/>
    </row>
    <row r="316" spans="4:5" ht="13.5">
      <c r="D316" s="39"/>
      <c r="E316" s="39"/>
    </row>
    <row r="317" spans="4:5" ht="13.5">
      <c r="D317" s="39"/>
      <c r="E317" s="39"/>
    </row>
    <row r="318" spans="4:5" ht="13.5">
      <c r="D318" s="39"/>
      <c r="E318" s="39"/>
    </row>
    <row r="319" spans="4:5" ht="13.5">
      <c r="D319" s="39"/>
      <c r="E319" s="39"/>
    </row>
    <row r="320" spans="4:5" ht="13.5">
      <c r="D320" s="39"/>
      <c r="E320" s="39"/>
    </row>
    <row r="321" spans="4:5" ht="13.5">
      <c r="D321" s="39"/>
      <c r="E321" s="39"/>
    </row>
    <row r="322" spans="4:5" ht="13.5">
      <c r="D322" s="39"/>
      <c r="E322" s="39"/>
    </row>
    <row r="323" spans="4:5" ht="13.5">
      <c r="D323" s="39"/>
      <c r="E323" s="39"/>
    </row>
    <row r="324" spans="4:5" ht="13.5">
      <c r="D324" s="39"/>
      <c r="E324" s="39"/>
    </row>
    <row r="325" spans="4:5" ht="13.5">
      <c r="D325" s="39"/>
      <c r="E325" s="39"/>
    </row>
    <row r="326" spans="4:5" ht="13.5">
      <c r="D326" s="39"/>
      <c r="E326" s="39"/>
    </row>
    <row r="327" spans="4:5" ht="13.5">
      <c r="D327" s="39"/>
      <c r="E327" s="39"/>
    </row>
  </sheetData>
  <sheetProtection/>
  <mergeCells count="9">
    <mergeCell ref="A27:A33"/>
    <mergeCell ref="A45:A47"/>
    <mergeCell ref="A60:B60"/>
    <mergeCell ref="A12:A17"/>
    <mergeCell ref="A35:A37"/>
    <mergeCell ref="A39:A41"/>
    <mergeCell ref="A53:A57"/>
    <mergeCell ref="A49:A51"/>
    <mergeCell ref="A19:A25"/>
  </mergeCells>
  <printOptions/>
  <pageMargins left="0.75" right="0.75" top="1" bottom="1" header="0.5" footer="0.5"/>
  <pageSetup horizontalDpi="600" verticalDpi="600" orientation="portrait" paperSize="9"/>
  <headerFooter alignWithMargins="0">
    <oddFooter>&amp;LSanita Vukicevic&amp;CEnvir AB&amp;R&amp;D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7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38.7109375" style="0" customWidth="1"/>
  </cols>
  <sheetData>
    <row r="2" spans="1:2" ht="12.75">
      <c r="A2" s="73" t="s">
        <v>23</v>
      </c>
      <c r="B2" s="73" t="s">
        <v>28</v>
      </c>
    </row>
    <row r="3" spans="1:2" ht="12.75">
      <c r="A3" s="73" t="s">
        <v>93</v>
      </c>
      <c r="B3" s="132">
        <f>Vikt1</f>
        <v>86.1</v>
      </c>
    </row>
    <row r="4" spans="1:2" ht="12.75">
      <c r="A4" s="73" t="s">
        <v>94</v>
      </c>
      <c r="B4" s="132">
        <f>Vikt4</f>
        <v>2</v>
      </c>
    </row>
    <row r="5" spans="1:2" ht="12.75">
      <c r="A5" s="73" t="s">
        <v>95</v>
      </c>
      <c r="B5" s="132">
        <f>Vikt5</f>
        <v>10.2</v>
      </c>
    </row>
    <row r="6" spans="1:2" ht="12.75">
      <c r="A6" s="73" t="s">
        <v>96</v>
      </c>
      <c r="B6" s="132">
        <f>Vikt6</f>
        <v>67.3</v>
      </c>
    </row>
    <row r="7" spans="1:2" ht="12.75">
      <c r="A7" s="73" t="s">
        <v>97</v>
      </c>
      <c r="B7" s="132">
        <f>Vikt8</f>
        <v>6.4</v>
      </c>
    </row>
    <row r="8" spans="1:2" ht="12.75">
      <c r="A8" s="73" t="s">
        <v>8</v>
      </c>
      <c r="B8" s="132">
        <f>Vikt9</f>
        <v>6.1</v>
      </c>
    </row>
    <row r="9" spans="1:2" ht="12.75">
      <c r="A9" s="73" t="s">
        <v>86</v>
      </c>
      <c r="B9" s="132">
        <f>Vikt10</f>
        <v>4</v>
      </c>
    </row>
    <row r="10" spans="1:2" ht="12.75">
      <c r="A10" s="73" t="s">
        <v>98</v>
      </c>
      <c r="B10" s="132">
        <f>'basmetoden - tabell '!D20</f>
        <v>1.8</v>
      </c>
    </row>
    <row r="11" spans="1:2" ht="12.75">
      <c r="A11" s="73" t="s">
        <v>40</v>
      </c>
      <c r="B11" s="132">
        <f>Vikt11</f>
        <v>4.2</v>
      </c>
    </row>
    <row r="12" spans="1:2" ht="12.75">
      <c r="A12" s="73" t="s">
        <v>41</v>
      </c>
      <c r="B12" s="132">
        <f>Vikt12</f>
        <v>31.2</v>
      </c>
    </row>
    <row r="13" spans="1:2" ht="12.75">
      <c r="A13" s="73" t="s">
        <v>76</v>
      </c>
      <c r="B13" s="132">
        <f>'basmetoden - tabell '!D23</f>
        <v>1.2</v>
      </c>
    </row>
    <row r="14" spans="1:2" ht="12.75">
      <c r="A14" s="73" t="s">
        <v>42</v>
      </c>
      <c r="B14" s="132">
        <f>Vikt14</f>
        <v>46.2</v>
      </c>
    </row>
    <row r="15" spans="1:2" ht="12.75">
      <c r="A15" s="73" t="s">
        <v>113</v>
      </c>
      <c r="B15" s="132">
        <f>'basmetoden - tabell '!D25</f>
        <v>0.1</v>
      </c>
    </row>
    <row r="16" spans="1:2" ht="12.75">
      <c r="A16" s="73" t="s">
        <v>99</v>
      </c>
      <c r="B16" s="132">
        <f>Vikt15</f>
        <v>27.2</v>
      </c>
    </row>
    <row r="17" spans="1:2" ht="12.75">
      <c r="A17" s="73" t="s">
        <v>87</v>
      </c>
      <c r="B17" s="132">
        <f>'basmetoden - tabell '!D28</f>
        <v>5.4</v>
      </c>
    </row>
    <row r="18" spans="1:2" ht="12.75">
      <c r="A18" s="73" t="s">
        <v>45</v>
      </c>
      <c r="B18" s="132">
        <f>Vikt16</f>
        <v>0.2</v>
      </c>
    </row>
    <row r="19" spans="1:2" ht="12.75">
      <c r="A19" s="73" t="s">
        <v>46</v>
      </c>
      <c r="B19" s="132">
        <f>Vikt17</f>
        <v>26.4</v>
      </c>
    </row>
    <row r="20" spans="1:2" ht="12.75">
      <c r="A20" s="73" t="s">
        <v>100</v>
      </c>
      <c r="B20" s="132">
        <f>'basmetoden - tabell '!D31</f>
        <v>0.5</v>
      </c>
    </row>
    <row r="21" spans="1:2" ht="12.75">
      <c r="A21" s="73" t="s">
        <v>47</v>
      </c>
      <c r="B21" s="132">
        <f>Vikt18</f>
        <v>10.2</v>
      </c>
    </row>
    <row r="22" spans="1:2" ht="12.75">
      <c r="A22" s="73" t="s">
        <v>79</v>
      </c>
      <c r="B22" s="132">
        <f>'basmetoden - tabell '!D33</f>
        <v>7.4</v>
      </c>
    </row>
    <row r="23" spans="1:2" ht="12.75">
      <c r="A23" s="73" t="s">
        <v>49</v>
      </c>
      <c r="B23" s="132">
        <f>Vikt19</f>
        <v>6.4</v>
      </c>
    </row>
    <row r="24" spans="1:2" ht="12.75">
      <c r="A24" s="73" t="s">
        <v>80</v>
      </c>
      <c r="B24" s="132">
        <f>'basmetoden - tabell '!D36</f>
        <v>0</v>
      </c>
    </row>
    <row r="25" spans="1:2" ht="12.75">
      <c r="A25" s="73" t="s">
        <v>50</v>
      </c>
      <c r="B25" s="132">
        <f>Vikt20</f>
        <v>0.6</v>
      </c>
    </row>
    <row r="26" spans="1:2" ht="12.75">
      <c r="A26" s="73" t="s">
        <v>52</v>
      </c>
      <c r="B26" s="132">
        <f>Vikt21</f>
        <v>4.6</v>
      </c>
    </row>
    <row r="27" spans="1:2" ht="12.75">
      <c r="A27" s="73" t="s">
        <v>81</v>
      </c>
      <c r="B27" s="132">
        <f>'basmetoden - tabell '!D40</f>
        <v>0.4</v>
      </c>
    </row>
    <row r="28" spans="1:2" ht="12.75">
      <c r="A28" s="73" t="s">
        <v>53</v>
      </c>
      <c r="B28" s="132">
        <f>Vikt22</f>
        <v>1.1</v>
      </c>
    </row>
    <row r="29" spans="1:2" ht="12.75">
      <c r="A29" s="73" t="s">
        <v>18</v>
      </c>
      <c r="B29" s="132">
        <f>Vikt28</f>
        <v>13.2</v>
      </c>
    </row>
    <row r="30" spans="1:2" ht="12.75">
      <c r="A30" s="73" t="s">
        <v>3</v>
      </c>
      <c r="B30" s="132">
        <f>'basmetoden - tabell '!D48</f>
        <v>0.63155</v>
      </c>
    </row>
    <row r="31" spans="1:2" ht="12.75">
      <c r="A31" s="73" t="s">
        <v>20</v>
      </c>
      <c r="B31" s="132">
        <f>'basmetoden - tabell '!D52</f>
        <v>1.65195</v>
      </c>
    </row>
    <row r="32" spans="1:2" ht="12.75">
      <c r="A32" s="73" t="s">
        <v>62</v>
      </c>
      <c r="B32" s="132">
        <f>Vikt31</f>
        <v>1.4</v>
      </c>
    </row>
    <row r="33" spans="1:2" ht="12.75">
      <c r="A33" s="73" t="s">
        <v>101</v>
      </c>
      <c r="B33" s="132">
        <f>Vikt33</f>
        <v>16.4</v>
      </c>
    </row>
    <row r="34" spans="1:2" ht="12.75">
      <c r="A34" s="73" t="s">
        <v>102</v>
      </c>
      <c r="B34" s="132">
        <f>'basmetoden - tabell '!D55</f>
        <v>2.2</v>
      </c>
    </row>
    <row r="35" spans="1:2" ht="12.75">
      <c r="A35" s="73" t="s">
        <v>63</v>
      </c>
      <c r="B35" s="132">
        <f>Vikt34</f>
        <v>65.8</v>
      </c>
    </row>
    <row r="36" spans="1:2" ht="12.75">
      <c r="A36" s="73" t="s">
        <v>64</v>
      </c>
      <c r="B36" s="132">
        <f>Vikt36</f>
        <v>60.7</v>
      </c>
    </row>
    <row r="37" ht="12.75">
      <c r="B37" s="132">
        <f>SUM(B3:B36)</f>
        <v>519.1834999999999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lido</dc:creator>
  <cp:keywords/>
  <dc:description/>
  <cp:lastModifiedBy>Björn Larsson</cp:lastModifiedBy>
  <cp:lastPrinted>2014-03-04T10:01:32Z</cp:lastPrinted>
  <dcterms:created xsi:type="dcterms:W3CDTF">2005-06-23T15:04:33Z</dcterms:created>
  <dcterms:modified xsi:type="dcterms:W3CDTF">2020-11-23T10:07:42Z</dcterms:modified>
  <cp:category/>
  <cp:version/>
  <cp:contentType/>
  <cp:contentStatus/>
</cp:coreProperties>
</file>